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upctfs1\home\amy.middleton\desktop\Website Content\Fiscal\"/>
    </mc:Choice>
  </mc:AlternateContent>
  <bookViews>
    <workbookView xWindow="-28920" yWindow="-120" windowWidth="29040" windowHeight="17640" tabRatio="798" firstSheet="1" activeTab="1"/>
  </bookViews>
  <sheets>
    <sheet name="README" sheetId="142" state="hidden" r:id="rId1"/>
    <sheet name="WF Need" sheetId="41" r:id="rId2"/>
    <sheet name="BLS" sheetId="73" r:id="rId3"/>
    <sheet name="RAS" sheetId="83" r:id="rId4"/>
    <sheet name="AVG RAS salary" sheetId="80" r:id="rId5"/>
    <sheet name="FTE Allotment Factor" sheetId="72" r:id="rId6"/>
    <sheet name="Program 10" sheetId="143" r:id="rId7"/>
    <sheet name="Program 90" sheetId="146" r:id="rId8"/>
    <sheet name="CEO Salary" sheetId="145" r:id="rId9"/>
    <sheet name="OE&amp;E by Cluster" sheetId="147" r:id="rId10"/>
    <sheet name="AB1058" sheetId="148" r:id="rId11"/>
    <sheet name="Floor Adjustment" sheetId="93" state="hidden" r:id="rId12"/>
    <sheet name="Floors" sheetId="74" state="hidden" r:id="rId13"/>
    <sheet name="SUMMARY" sheetId="141"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Qtr1" localSheetId="11">#REF!</definedName>
    <definedName name="__Qtr1" localSheetId="12">#REF!</definedName>
    <definedName name="__Qtr1" localSheetId="7">#REF!</definedName>
    <definedName name="__Qtr1">#REF!</definedName>
    <definedName name="__Qtr2" localSheetId="11">#REF!</definedName>
    <definedName name="__Qtr2" localSheetId="12">#REF!</definedName>
    <definedName name="__Qtr2" localSheetId="7">#REF!</definedName>
    <definedName name="__Qtr2">#REF!</definedName>
    <definedName name="__Qtr3" localSheetId="11">#REF!</definedName>
    <definedName name="__Qtr3" localSheetId="12">#REF!</definedName>
    <definedName name="__Qtr3" localSheetId="7">#REF!</definedName>
    <definedName name="__Qtr3">#REF!</definedName>
    <definedName name="__Qtr4" localSheetId="11">#REF!</definedName>
    <definedName name="__Qtr4" localSheetId="7">#REF!</definedName>
    <definedName name="__Qtr4">#REF!</definedName>
    <definedName name="_xlnm._FilterDatabase" localSheetId="11" hidden="1">'Floor Adjustment'!$I$1:$I$74</definedName>
    <definedName name="_GoBack" localSheetId="3">RAS!$C$67</definedName>
    <definedName name="_Qtr1" localSheetId="11">#REF!</definedName>
    <definedName name="_Qtr1" localSheetId="7">#REF!</definedName>
    <definedName name="_Qtr1">#REF!</definedName>
    <definedName name="_Qtr2" localSheetId="11">#REF!</definedName>
    <definedName name="_Qtr2" localSheetId="7">#REF!</definedName>
    <definedName name="_Qtr2">#REF!</definedName>
    <definedName name="_Qtr3" localSheetId="11">#REF!</definedName>
    <definedName name="_Qtr3" localSheetId="7">#REF!</definedName>
    <definedName name="_Qtr3">#REF!</definedName>
    <definedName name="_Qtr4" localSheetId="11">#REF!</definedName>
    <definedName name="_Qtr4" localSheetId="7">#REF!</definedName>
    <definedName name="_Qtr4">#REF!</definedName>
    <definedName name="a" localSheetId="11">#REF!</definedName>
    <definedName name="a" localSheetId="7">#REF!</definedName>
    <definedName name="a">#REF!</definedName>
    <definedName name="ACCOUNTEDPERIODTYPE1" localSheetId="11">#REF!</definedName>
    <definedName name="ACCOUNTEDPERIODTYPE1" localSheetId="7">#REF!</definedName>
    <definedName name="ACCOUNTEDPERIODTYPE1">#REF!</definedName>
    <definedName name="ACCOUNTSEGMENT1" localSheetId="11">#REF!</definedName>
    <definedName name="ACCOUNTSEGMENT1" localSheetId="7">#REF!</definedName>
    <definedName name="ACCOUNTSEGMENT1">#REF!</definedName>
    <definedName name="APPSUSERNAME1" localSheetId="11">#REF!</definedName>
    <definedName name="APPSUSERNAME1" localSheetId="7">#REF!</definedName>
    <definedName name="APPSUSERNAME1">#REF!</definedName>
    <definedName name="base_fee_adjustment" localSheetId="11">#REF!</definedName>
    <definedName name="base_fee_adjustment" localSheetId="7">#REF!</definedName>
    <definedName name="base_fee_adjustment">#REF!</definedName>
    <definedName name="BUDGETCURRENCYCODE1" localSheetId="11">#REF!</definedName>
    <definedName name="BUDGETCURRENCYCODE1" localSheetId="7">#REF!</definedName>
    <definedName name="BUDGETCURRENCYCODE1">#REF!</definedName>
    <definedName name="BUDGETDECIMALPLACES1" localSheetId="11">#REF!</definedName>
    <definedName name="BUDGETDECIMALPLACES1" localSheetId="7">#REF!</definedName>
    <definedName name="BUDGETDECIMALPLACES1">#REF!</definedName>
    <definedName name="BUDGETENTITYID1" localSheetId="11">#REF!</definedName>
    <definedName name="BUDGETENTITYID1" localSheetId="7">#REF!</definedName>
    <definedName name="BUDGETENTITYID1">#REF!</definedName>
    <definedName name="BUDGETGRAPHCORRESPONDING1" localSheetId="11">#REF!</definedName>
    <definedName name="BUDGETGRAPHCORRESPONDING1" localSheetId="7">#REF!</definedName>
    <definedName name="BUDGETGRAPHCORRESPONDING1">#REF!</definedName>
    <definedName name="BUDGETGRAPHINCACTUALS1" localSheetId="11">#REF!</definedName>
    <definedName name="BUDGETGRAPHINCACTUALS1" localSheetId="7">#REF!</definedName>
    <definedName name="BUDGETGRAPHINCACTUALS1">#REF!</definedName>
    <definedName name="BUDGETGRAPHINCBUDGETS1" localSheetId="11">#REF!</definedName>
    <definedName name="BUDGETGRAPHINCBUDGETS1" localSheetId="7">#REF!</definedName>
    <definedName name="BUDGETGRAPHINCBUDGETS1">#REF!</definedName>
    <definedName name="BUDGETGRAPHINCTITLES1" localSheetId="11">#REF!</definedName>
    <definedName name="BUDGETGRAPHINCTITLES1" localSheetId="7">#REF!</definedName>
    <definedName name="BUDGETGRAPHINCTITLES1">#REF!</definedName>
    <definedName name="BUDGETGRAPHINCVARIANCES1" localSheetId="11">#REF!</definedName>
    <definedName name="BUDGETGRAPHINCVARIANCES1" localSheetId="7">#REF!</definedName>
    <definedName name="BUDGETGRAPHINCVARIANCES1">#REF!</definedName>
    <definedName name="BUDGETGRAPHSTYLE1" localSheetId="11">#REF!</definedName>
    <definedName name="BUDGETGRAPHSTYLE1" localSheetId="7">#REF!</definedName>
    <definedName name="BUDGETGRAPHSTYLE1">#REF!</definedName>
    <definedName name="BUDGETHEADINGSBACKCOLOUR1" localSheetId="11">#REF!</definedName>
    <definedName name="BUDGETHEADINGSBACKCOLOUR1" localSheetId="7">#REF!</definedName>
    <definedName name="BUDGETHEADINGSBACKCOLOUR1">#REF!</definedName>
    <definedName name="BUDGETHEADINGSFORECOLOUR1" localSheetId="11">#REF!</definedName>
    <definedName name="BUDGETHEADINGSFORECOLOUR1" localSheetId="7">#REF!</definedName>
    <definedName name="BUDGETHEADINGSFORECOLOUR1">#REF!</definedName>
    <definedName name="BUDGETNAME1" localSheetId="11">#REF!</definedName>
    <definedName name="BUDGETNAME1" localSheetId="7">#REF!</definedName>
    <definedName name="BUDGETNAME1">#REF!</definedName>
    <definedName name="BUDGETORG1" localSheetId="11">#REF!</definedName>
    <definedName name="BUDGETORG1" localSheetId="7">#REF!</definedName>
    <definedName name="BUDGETORG1">#REF!</definedName>
    <definedName name="BUDGETORGFROZEN1" localSheetId="11">#REF!</definedName>
    <definedName name="BUDGETORGFROZEN1" localSheetId="7">#REF!</definedName>
    <definedName name="BUDGETORGFROZEN1">#REF!</definedName>
    <definedName name="BUDGETOUTPUTOPTION1" localSheetId="11">#REF!</definedName>
    <definedName name="BUDGETOUTPUTOPTION1" localSheetId="7">#REF!</definedName>
    <definedName name="BUDGETOUTPUTOPTION1">#REF!</definedName>
    <definedName name="BUDGETPASSWORDREQUIREDFLAG1" localSheetId="11">#REF!</definedName>
    <definedName name="BUDGETPASSWORDREQUIREDFLAG1" localSheetId="7">#REF!</definedName>
    <definedName name="BUDGETPASSWORDREQUIREDFLAG1">#REF!</definedName>
    <definedName name="BUDGETSHOWCRITERIASHEET1" localSheetId="11">#REF!</definedName>
    <definedName name="BUDGETSHOWCRITERIASHEET1" localSheetId="7">#REF!</definedName>
    <definedName name="BUDGETSHOWCRITERIASHEET1">#REF!</definedName>
    <definedName name="BUDGETSTATUS1" localSheetId="11">#REF!</definedName>
    <definedName name="BUDGETSTATUS1" localSheetId="7">#REF!</definedName>
    <definedName name="BUDGETSTATUS1">#REF!</definedName>
    <definedName name="BUDGETTITLEBACKCOLOUR1" localSheetId="11">#REF!</definedName>
    <definedName name="BUDGETTITLEBACKCOLOUR1" localSheetId="7">#REF!</definedName>
    <definedName name="BUDGETTITLEBACKCOLOUR1">#REF!</definedName>
    <definedName name="BUDGETTITLEBORDERCOLOUR1" localSheetId="11">#REF!</definedName>
    <definedName name="BUDGETTITLEBORDERCOLOUR1" localSheetId="7">#REF!</definedName>
    <definedName name="BUDGETTITLEBORDERCOLOUR1">#REF!</definedName>
    <definedName name="BUDGETTITLEFORECOLOUR1" localSheetId="11">#REF!</definedName>
    <definedName name="BUDGETTITLEFORECOLOUR1" localSheetId="7">#REF!</definedName>
    <definedName name="BUDGETTITLEFORECOLOUR1">#REF!</definedName>
    <definedName name="BUDGETVALUESWIDTH1" localSheetId="11">#REF!</definedName>
    <definedName name="BUDGETVALUESWIDTH1" localSheetId="7">#REF!</definedName>
    <definedName name="BUDGETVALUESWIDTH1">#REF!</definedName>
    <definedName name="BUDGETVERSIONID1" localSheetId="11">#REF!</definedName>
    <definedName name="BUDGETVERSIONID1" localSheetId="7">#REF!</definedName>
    <definedName name="BUDGETVERSIONID1">#REF!</definedName>
    <definedName name="ccid" localSheetId="11">[1]Instructions!#REF!</definedName>
    <definedName name="ccid" localSheetId="12">[1]Instructions!#REF!</definedName>
    <definedName name="ccid" localSheetId="7">[1]Instructions!#REF!</definedName>
    <definedName name="ccid">[1]Instructions!#REF!</definedName>
    <definedName name="CHARTOFACCOUNTSID1" localSheetId="11">#REF!</definedName>
    <definedName name="CHARTOFACCOUNTSID1" localSheetId="7">#REF!</definedName>
    <definedName name="CHARTOFACCOUNTSID1">#REF!</definedName>
    <definedName name="Code">'[2]Combo Box'!$D$2:$D$21</definedName>
    <definedName name="CONNECTSTRING1" localSheetId="11">#REF!</definedName>
    <definedName name="CONNECTSTRING1" localSheetId="7">#REF!</definedName>
    <definedName name="CONNECTSTRING1">#REF!</definedName>
    <definedName name="Copy_Area" localSheetId="11">#REF!</definedName>
    <definedName name="Copy_Area" localSheetId="7">#REF!</definedName>
    <definedName name="Copy_Area">#REF!</definedName>
    <definedName name="Court">'[2]Combo Box'!$B$2:$B$60</definedName>
    <definedName name="CourtList">[3]Code!$B$1:$B$59</definedName>
    <definedName name="CREATEGRAPH1" localSheetId="11">#REF!</definedName>
    <definedName name="CREATEGRAPH1" localSheetId="7">#REF!</definedName>
    <definedName name="CREATEGRAPH1">#REF!</definedName>
    <definedName name="Data" localSheetId="11">#REF!</definedName>
    <definedName name="Data" localSheetId="7">#REF!</definedName>
    <definedName name="Data">#REF!</definedName>
    <definedName name="DBNAME1" localSheetId="11">#REF!</definedName>
    <definedName name="DBNAME1" localSheetId="7">#REF!</definedName>
    <definedName name="DBNAME1">#REF!</definedName>
    <definedName name="DBUSERNAME1" localSheetId="11">#REF!</definedName>
    <definedName name="DBUSERNAME1" localSheetId="7">#REF!</definedName>
    <definedName name="DBUSERNAME1">#REF!</definedName>
    <definedName name="DELETELOGICTYPE1" localSheetId="11">#REF!</definedName>
    <definedName name="DELETELOGICTYPE1" localSheetId="7">#REF!</definedName>
    <definedName name="DELETELOGICTYPE1">#REF!</definedName>
    <definedName name="ENDPERIODNAME1" localSheetId="11">#REF!</definedName>
    <definedName name="ENDPERIODNAME1" localSheetId="7">#REF!</definedName>
    <definedName name="ENDPERIODNAME1">#REF!</definedName>
    <definedName name="ENDPERIODNUM1" localSheetId="11">#REF!</definedName>
    <definedName name="ENDPERIODNUM1" localSheetId="7">#REF!</definedName>
    <definedName name="ENDPERIODNUM1">#REF!</definedName>
    <definedName name="ENDPERIODYEAR1" localSheetId="11">#REF!</definedName>
    <definedName name="ENDPERIODYEAR1" localSheetId="7">#REF!</definedName>
    <definedName name="ENDPERIODYEAR1">#REF!</definedName>
    <definedName name="exp">[4]expenditure!$A$5:$G$62</definedName>
    <definedName name="FFAPPCOLNAME1_1" localSheetId="11">#REF!</definedName>
    <definedName name="FFAPPCOLNAME1_1" localSheetId="7">#REF!</definedName>
    <definedName name="FFAPPCOLNAME1_1">#REF!</definedName>
    <definedName name="FFAPPCOLNAME2_1" localSheetId="11">#REF!</definedName>
    <definedName name="FFAPPCOLNAME2_1" localSheetId="7">#REF!</definedName>
    <definedName name="FFAPPCOLNAME2_1">#REF!</definedName>
    <definedName name="FFAPPCOLNAME3_1" localSheetId="11">#REF!</definedName>
    <definedName name="FFAPPCOLNAME3_1" localSheetId="7">#REF!</definedName>
    <definedName name="FFAPPCOLNAME3_1">#REF!</definedName>
    <definedName name="FFAPPCOLNAME4_1" localSheetId="11">#REF!</definedName>
    <definedName name="FFAPPCOLNAME4_1" localSheetId="7">#REF!</definedName>
    <definedName name="FFAPPCOLNAME4_1">#REF!</definedName>
    <definedName name="FFAPPCOLNAME5_1" localSheetId="11">#REF!</definedName>
    <definedName name="FFAPPCOLNAME5_1" localSheetId="7">#REF!</definedName>
    <definedName name="FFAPPCOLNAME5_1">#REF!</definedName>
    <definedName name="FFAPPCOLNAME6_1" localSheetId="11">#REF!</definedName>
    <definedName name="FFAPPCOLNAME6_1" localSheetId="7">#REF!</definedName>
    <definedName name="FFAPPCOLNAME6_1">#REF!</definedName>
    <definedName name="FFAPPCOLNAME7_1" localSheetId="11">#REF!</definedName>
    <definedName name="FFAPPCOLNAME7_1" localSheetId="7">#REF!</definedName>
    <definedName name="FFAPPCOLNAME7_1">#REF!</definedName>
    <definedName name="FFAPPCOLNAME8_1" localSheetId="11">#REF!</definedName>
    <definedName name="FFAPPCOLNAME8_1" localSheetId="7">#REF!</definedName>
    <definedName name="FFAPPCOLNAME8_1">#REF!</definedName>
    <definedName name="FFSEGDESC1_1" localSheetId="11">#REF!</definedName>
    <definedName name="FFSEGDESC1_1" localSheetId="7">#REF!</definedName>
    <definedName name="FFSEGDESC1_1">#REF!</definedName>
    <definedName name="FFSEGDESC2_1" localSheetId="11">#REF!</definedName>
    <definedName name="FFSEGDESC2_1" localSheetId="7">#REF!</definedName>
    <definedName name="FFSEGDESC2_1">#REF!</definedName>
    <definedName name="FFSEGDESC3_1" localSheetId="11">#REF!</definedName>
    <definedName name="FFSEGDESC3_1" localSheetId="7">#REF!</definedName>
    <definedName name="FFSEGDESC3_1">#REF!</definedName>
    <definedName name="FFSEGDESC4_1" localSheetId="11">#REF!</definedName>
    <definedName name="FFSEGDESC4_1" localSheetId="7">#REF!</definedName>
    <definedName name="FFSEGDESC4_1">#REF!</definedName>
    <definedName name="FFSEGDESC5_1" localSheetId="11">#REF!</definedName>
    <definedName name="FFSEGDESC5_1" localSheetId="7">#REF!</definedName>
    <definedName name="FFSEGDESC5_1">#REF!</definedName>
    <definedName name="FFSEGDESC6_1" localSheetId="11">#REF!</definedName>
    <definedName name="FFSEGDESC6_1" localSheetId="7">#REF!</definedName>
    <definedName name="FFSEGDESC6_1">#REF!</definedName>
    <definedName name="FFSEGDESC7_1" localSheetId="11">#REF!</definedName>
    <definedName name="FFSEGDESC7_1" localSheetId="7">#REF!</definedName>
    <definedName name="FFSEGDESC7_1">#REF!</definedName>
    <definedName name="FFSEGDESC8_1" localSheetId="11">#REF!</definedName>
    <definedName name="FFSEGDESC8_1" localSheetId="7">#REF!</definedName>
    <definedName name="FFSEGDESC8_1">#REF!</definedName>
    <definedName name="FFSEGMENT1_1" localSheetId="11">#REF!</definedName>
    <definedName name="FFSEGMENT1_1" localSheetId="7">#REF!</definedName>
    <definedName name="FFSEGMENT1_1">#REF!</definedName>
    <definedName name="FFSEGMENT2_1" localSheetId="11">#REF!</definedName>
    <definedName name="FFSEGMENT2_1" localSheetId="7">#REF!</definedName>
    <definedName name="FFSEGMENT2_1">#REF!</definedName>
    <definedName name="FFSEGMENT3_1" localSheetId="11">#REF!</definedName>
    <definedName name="FFSEGMENT3_1" localSheetId="7">#REF!</definedName>
    <definedName name="FFSEGMENT3_1">#REF!</definedName>
    <definedName name="FFSEGMENT4_1" localSheetId="11">#REF!</definedName>
    <definedName name="FFSEGMENT4_1" localSheetId="7">#REF!</definedName>
    <definedName name="FFSEGMENT4_1">#REF!</definedName>
    <definedName name="FFSEGMENT5_1" localSheetId="11">#REF!</definedName>
    <definedName name="FFSEGMENT5_1" localSheetId="7">#REF!</definedName>
    <definedName name="FFSEGMENT5_1">#REF!</definedName>
    <definedName name="FFSEGMENT6_1" localSheetId="11">#REF!</definedName>
    <definedName name="FFSEGMENT6_1" localSheetId="7">#REF!</definedName>
    <definedName name="FFSEGMENT6_1">#REF!</definedName>
    <definedName name="FFSEGMENT7_1" localSheetId="11">#REF!</definedName>
    <definedName name="FFSEGMENT7_1" localSheetId="7">#REF!</definedName>
    <definedName name="FFSEGMENT7_1">#REF!</definedName>
    <definedName name="FFSEGMENT8_1" localSheetId="11">#REF!</definedName>
    <definedName name="FFSEGMENT8_1" localSheetId="7">#REF!</definedName>
    <definedName name="FFSEGMENT8_1">#REF!</definedName>
    <definedName name="FFSEGSEPARATOR1" localSheetId="11">#REF!</definedName>
    <definedName name="FFSEGSEPARATOR1" localSheetId="7">#REF!</definedName>
    <definedName name="FFSEGSEPARATOR1">#REF!</definedName>
    <definedName name="FiscalYear">'[2]Combo Box'!$C$2:$C$9</definedName>
    <definedName name="FNDNAM1" localSheetId="11">#REF!</definedName>
    <definedName name="FNDNAM1" localSheetId="7">#REF!</definedName>
    <definedName name="FNDNAM1">#REF!</definedName>
    <definedName name="FNDUSERID1" localSheetId="11">#REF!</definedName>
    <definedName name="FNDUSERID1" localSheetId="7">#REF!</definedName>
    <definedName name="FNDUSERID1">#REF!</definedName>
    <definedName name="fte" localSheetId="11">#REF!</definedName>
    <definedName name="fte" localSheetId="7">#REF!</definedName>
    <definedName name="fte">#REF!</definedName>
    <definedName name="FUND">'[2]Combo Box'!$A$2:$A$5</definedName>
    <definedName name="GWYUID1" localSheetId="11">#REF!</definedName>
    <definedName name="GWYUID1" localSheetId="7">#REF!</definedName>
    <definedName name="GWYUID1">#REF!</definedName>
    <definedName name="huntington" localSheetId="11">#REF!</definedName>
    <definedName name="huntington" localSheetId="7">#REF!</definedName>
    <definedName name="huntington">#REF!</definedName>
    <definedName name="Jeff___TC145B11" localSheetId="7">#REF!</definedName>
    <definedName name="Jeff___TC145B11">#REF!</definedName>
    <definedName name="Jeff___TC145B11_QueryA" localSheetId="7">#REF!</definedName>
    <definedName name="Jeff___TC145B11_QueryA">#REF!</definedName>
    <definedName name="Jeff_121511a" localSheetId="7">#REF!</definedName>
    <definedName name="Jeff_121511a">#REF!</definedName>
    <definedName name="method2" localSheetId="11">#REF!</definedName>
    <definedName name="method2" localSheetId="7">#REF!</definedName>
    <definedName name="method2">#REF!</definedName>
    <definedName name="NOOFFFSEGMENTS1" localSheetId="11">#REF!</definedName>
    <definedName name="NOOFFFSEGMENTS1" localSheetId="7">#REF!</definedName>
    <definedName name="NOOFFFSEGMENTS1">#REF!</definedName>
    <definedName name="NOOFPERIODS1" localSheetId="11">#REF!</definedName>
    <definedName name="NOOFPERIODS1" localSheetId="7">#REF!</definedName>
    <definedName name="NOOFPERIODS1">#REF!</definedName>
    <definedName name="oee">[4]OEE!$B$4:$C$7</definedName>
    <definedName name="oee_all">[4]OEE!$B$45:$C$48</definedName>
    <definedName name="oee_noneed">[4]OEE!$B$12:$C$15</definedName>
    <definedName name="PERIODSETNAME1" localSheetId="11">#REF!</definedName>
    <definedName name="PERIODSETNAME1" localSheetId="7">#REF!</definedName>
    <definedName name="PERIODSETNAME1">#REF!</definedName>
    <definedName name="PERIODYEAR1" localSheetId="11">#REF!</definedName>
    <definedName name="PERIODYEAR1" localSheetId="7">#REF!</definedName>
    <definedName name="PERIODYEAR1">#REF!</definedName>
    <definedName name="_xlnm.Print_Area" localSheetId="4">'AVG RAS salary'!$A$1:$H$69</definedName>
    <definedName name="_xlnm.Print_Area" localSheetId="2">BLS!$A$1:$I$66</definedName>
    <definedName name="_xlnm.Print_Area" localSheetId="11">'Floor Adjustment'!$A$1:$M$65</definedName>
    <definedName name="_xlnm.Print_Area" localSheetId="12">Floors!$A$1:$G$3</definedName>
    <definedName name="_xlnm.Print_Area" localSheetId="5">'FTE Allotment Factor'!$A$1:$H$70</definedName>
    <definedName name="_xlnm.Print_Area" localSheetId="3">RAS!$A$1:$S$69</definedName>
    <definedName name="Print_Area_MI" localSheetId="11">#REF!</definedName>
    <definedName name="Print_Area_MI" localSheetId="7">#REF!</definedName>
    <definedName name="Print_Area_MI">#REF!</definedName>
    <definedName name="_xlnm.Print_Titles" localSheetId="11">'Floor Adjustment'!$A:$B,'Floor Adjustment'!$4:$5</definedName>
    <definedName name="_xlnm.Print_Titles" localSheetId="5">'FTE Allotment Factor'!$1:$6</definedName>
    <definedName name="_xlnm.Print_Titles" localSheetId="1">'WF Need'!$A:$B,'WF Need'!$4:$6</definedName>
    <definedName name="q" localSheetId="7">'[5]TC145 Template 20140101'!#REF!</definedName>
    <definedName name="q">'[5]TC145 Template 20140101'!#REF!</definedName>
    <definedName name="QtrAll" localSheetId="11">#REF!</definedName>
    <definedName name="QtrAll" localSheetId="12">#REF!</definedName>
    <definedName name="QtrAll" localSheetId="7">#REF!</definedName>
    <definedName name="QtrAll">#REF!</definedName>
    <definedName name="READONLYBACKCOLOUR1" localSheetId="11">#REF!</definedName>
    <definedName name="READONLYBACKCOLOUR1" localSheetId="12">#REF!</definedName>
    <definedName name="READONLYBACKCOLOUR1" localSheetId="7">#REF!</definedName>
    <definedName name="READONLYBACKCOLOUR1">#REF!</definedName>
    <definedName name="READWRITEBACKCOLOUR1" localSheetId="11">#REF!</definedName>
    <definedName name="READWRITEBACKCOLOUR1" localSheetId="7">#REF!</definedName>
    <definedName name="READWRITEBACKCOLOUR1">#REF!</definedName>
    <definedName name="Recover">[6]Macro1!$A$76</definedName>
    <definedName name="ReductionType">'[7]Combo Box'!$A$2:$A$5</definedName>
    <definedName name="REQUIREBUDGETJOURNALSFLAG1" localSheetId="11">#REF!</definedName>
    <definedName name="REQUIREBUDGETJOURNALSFLAG1" localSheetId="12">#REF!</definedName>
    <definedName name="REQUIREBUDGETJOURNALSFLAG1" localSheetId="7">#REF!</definedName>
    <definedName name="REQUIREBUDGETJOURNALSFLAG1">#REF!</definedName>
    <definedName name="RESPONSIBILITYAPPLICATIONID1" localSheetId="11">#REF!</definedName>
    <definedName name="RESPONSIBILITYAPPLICATIONID1" localSheetId="12">#REF!</definedName>
    <definedName name="RESPONSIBILITYAPPLICATIONID1" localSheetId="7">#REF!</definedName>
    <definedName name="RESPONSIBILITYAPPLICATIONID1">#REF!</definedName>
    <definedName name="RESPONSIBILITYID1" localSheetId="11">#REF!</definedName>
    <definedName name="RESPONSIBILITYID1" localSheetId="12">#REF!</definedName>
    <definedName name="RESPONSIBILITYID1" localSheetId="7">#REF!</definedName>
    <definedName name="RESPONSIBILITYID1">#REF!</definedName>
    <definedName name="RESPONSIBILITYNAME1" localSheetId="11">#REF!</definedName>
    <definedName name="RESPONSIBILITYNAME1" localSheetId="7">#REF!</definedName>
    <definedName name="RESPONSIBILITYNAME1">#REF!</definedName>
    <definedName name="ROWSTOUPLOAD1" localSheetId="11">#REF!</definedName>
    <definedName name="ROWSTOUPLOAD1" localSheetId="7">#REF!</definedName>
    <definedName name="ROWSTOUPLOAD1">#REF!</definedName>
    <definedName name="SEG1_DIRECTION1" localSheetId="11">#REF!</definedName>
    <definedName name="SEG1_DIRECTION1" localSheetId="7">#REF!</definedName>
    <definedName name="SEG1_DIRECTION1">#REF!</definedName>
    <definedName name="SEG1_FROM1" localSheetId="11">#REF!</definedName>
    <definedName name="SEG1_FROM1" localSheetId="7">#REF!</definedName>
    <definedName name="SEG1_FROM1">#REF!</definedName>
    <definedName name="SEG1_SORT1" localSheetId="11">#REF!</definedName>
    <definedName name="SEG1_SORT1" localSheetId="7">#REF!</definedName>
    <definedName name="SEG1_SORT1">#REF!</definedName>
    <definedName name="SEG1_TO1" localSheetId="11">#REF!</definedName>
    <definedName name="SEG1_TO1" localSheetId="7">#REF!</definedName>
    <definedName name="SEG1_TO1">#REF!</definedName>
    <definedName name="SEG2_DIRECTION1" localSheetId="11">#REF!</definedName>
    <definedName name="SEG2_DIRECTION1" localSheetId="7">#REF!</definedName>
    <definedName name="SEG2_DIRECTION1">#REF!</definedName>
    <definedName name="SEG2_FROM1" localSheetId="11">#REF!</definedName>
    <definedName name="SEG2_FROM1" localSheetId="7">#REF!</definedName>
    <definedName name="SEG2_FROM1">#REF!</definedName>
    <definedName name="SEG2_SORT1" localSheetId="11">#REF!</definedName>
    <definedName name="SEG2_SORT1" localSheetId="7">#REF!</definedName>
    <definedName name="SEG2_SORT1">#REF!</definedName>
    <definedName name="SEG2_TO1" localSheetId="11">#REF!</definedName>
    <definedName name="SEG2_TO1" localSheetId="7">#REF!</definedName>
    <definedName name="SEG2_TO1">#REF!</definedName>
    <definedName name="SEG3_DIRECTION1" localSheetId="11">#REF!</definedName>
    <definedName name="SEG3_DIRECTION1" localSheetId="7">#REF!</definedName>
    <definedName name="SEG3_DIRECTION1">#REF!</definedName>
    <definedName name="SEG3_FROM1" localSheetId="11">#REF!</definedName>
    <definedName name="SEG3_FROM1" localSheetId="7">#REF!</definedName>
    <definedName name="SEG3_FROM1">#REF!</definedName>
    <definedName name="SEG3_SORT1" localSheetId="11">#REF!</definedName>
    <definedName name="SEG3_SORT1" localSheetId="7">#REF!</definedName>
    <definedName name="SEG3_SORT1">#REF!</definedName>
    <definedName name="SEG3_TO1" localSheetId="11">#REF!</definedName>
    <definedName name="SEG3_TO1" localSheetId="7">#REF!</definedName>
    <definedName name="SEG3_TO1">#REF!</definedName>
    <definedName name="SEG4_DIRECTION1" localSheetId="11">#REF!</definedName>
    <definedName name="SEG4_DIRECTION1" localSheetId="7">#REF!</definedName>
    <definedName name="SEG4_DIRECTION1">#REF!</definedName>
    <definedName name="SEG4_FROM1" localSheetId="11">#REF!</definedName>
    <definedName name="SEG4_FROM1" localSheetId="7">#REF!</definedName>
    <definedName name="SEG4_FROM1">#REF!</definedName>
    <definedName name="SEG4_SORT1" localSheetId="11">#REF!</definedName>
    <definedName name="SEG4_SORT1" localSheetId="7">#REF!</definedName>
    <definedName name="SEG4_SORT1">#REF!</definedName>
    <definedName name="SEG4_TO1" localSheetId="11">#REF!</definedName>
    <definedName name="SEG4_TO1" localSheetId="7">#REF!</definedName>
    <definedName name="SEG4_TO1">#REF!</definedName>
    <definedName name="SEG5_DIRECTION1" localSheetId="11">#REF!</definedName>
    <definedName name="SEG5_DIRECTION1" localSheetId="7">#REF!</definedName>
    <definedName name="SEG5_DIRECTION1">#REF!</definedName>
    <definedName name="SEG5_FROM1" localSheetId="11">#REF!</definedName>
    <definedName name="SEG5_FROM1" localSheetId="7">#REF!</definedName>
    <definedName name="SEG5_FROM1">#REF!</definedName>
    <definedName name="SEG5_SORT1" localSheetId="11">#REF!</definedName>
    <definedName name="SEG5_SORT1" localSheetId="7">#REF!</definedName>
    <definedName name="SEG5_SORT1">#REF!</definedName>
    <definedName name="SEG5_TO1" localSheetId="11">#REF!</definedName>
    <definedName name="SEG5_TO1" localSheetId="7">#REF!</definedName>
    <definedName name="SEG5_TO1">#REF!</definedName>
    <definedName name="SEG6_DIRECTION1" localSheetId="11">#REF!</definedName>
    <definedName name="SEG6_DIRECTION1" localSheetId="7">#REF!</definedName>
    <definedName name="SEG6_DIRECTION1">#REF!</definedName>
    <definedName name="SEG6_FROM1" localSheetId="11">#REF!</definedName>
    <definedName name="SEG6_FROM1" localSheetId="7">#REF!</definedName>
    <definedName name="SEG6_FROM1">#REF!</definedName>
    <definedName name="SEG6_SORT1" localSheetId="11">#REF!</definedName>
    <definedName name="SEG6_SORT1" localSheetId="7">#REF!</definedName>
    <definedName name="SEG6_SORT1">#REF!</definedName>
    <definedName name="SEG6_TO1" localSheetId="11">#REF!</definedName>
    <definedName name="SEG6_TO1" localSheetId="7">#REF!</definedName>
    <definedName name="SEG6_TO1">#REF!</definedName>
    <definedName name="SEG7_DIRECTION1" localSheetId="11">#REF!</definedName>
    <definedName name="SEG7_DIRECTION1" localSheetId="7">#REF!</definedName>
    <definedName name="SEG7_DIRECTION1">#REF!</definedName>
    <definedName name="SEG7_FROM1" localSheetId="11">#REF!</definedName>
    <definedName name="SEG7_FROM1" localSheetId="7">#REF!</definedName>
    <definedName name="SEG7_FROM1">#REF!</definedName>
    <definedName name="SEG7_SORT1" localSheetId="11">#REF!</definedName>
    <definedName name="SEG7_SORT1" localSheetId="7">#REF!</definedName>
    <definedName name="SEG7_SORT1">#REF!</definedName>
    <definedName name="SEG7_TO1" localSheetId="11">#REF!</definedName>
    <definedName name="SEG7_TO1" localSheetId="7">#REF!</definedName>
    <definedName name="SEG7_TO1">#REF!</definedName>
    <definedName name="SEG8_DIRECTION1" localSheetId="11">#REF!</definedName>
    <definedName name="SEG8_DIRECTION1" localSheetId="7">#REF!</definedName>
    <definedName name="SEG8_DIRECTION1">#REF!</definedName>
    <definedName name="SEG8_FROM1" localSheetId="11">#REF!</definedName>
    <definedName name="SEG8_FROM1" localSheetId="7">#REF!</definedName>
    <definedName name="SEG8_FROM1">#REF!</definedName>
    <definedName name="SEG8_SORT1" localSheetId="11">#REF!</definedName>
    <definedName name="SEG8_SORT1" localSheetId="7">#REF!</definedName>
    <definedName name="SEG8_SORT1">#REF!</definedName>
    <definedName name="SEG8_TO1" localSheetId="11">#REF!</definedName>
    <definedName name="SEG8_TO1" localSheetId="7">#REF!</definedName>
    <definedName name="SEG8_TO1">#REF!</definedName>
    <definedName name="SETOFBOOKSID1" localSheetId="11">#REF!</definedName>
    <definedName name="SETOFBOOKSID1" localSheetId="7">#REF!</definedName>
    <definedName name="SETOFBOOKSID1">#REF!</definedName>
    <definedName name="SETOFBOOKSNAME1" localSheetId="11">#REF!</definedName>
    <definedName name="SETOFBOOKSNAME1" localSheetId="7">#REF!</definedName>
    <definedName name="SETOFBOOKSNAME1">#REF!</definedName>
    <definedName name="STARTBUDGETPOST1" localSheetId="11">#REF!</definedName>
    <definedName name="STARTBUDGETPOST1" localSheetId="7">#REF!</definedName>
    <definedName name="STARTBUDGETPOST1">#REF!</definedName>
    <definedName name="STARTPERIODNAME1" localSheetId="11">#REF!</definedName>
    <definedName name="STARTPERIODNAME1" localSheetId="7">#REF!</definedName>
    <definedName name="STARTPERIODNAME1">#REF!</definedName>
    <definedName name="STARTPERIODNUM1" localSheetId="11">#REF!</definedName>
    <definedName name="STARTPERIODNUM1" localSheetId="7">#REF!</definedName>
    <definedName name="STARTPERIODNUM1">#REF!</definedName>
    <definedName name="STARTPERIODYEAR1" localSheetId="11">#REF!</definedName>
    <definedName name="STARTPERIODYEAR1" localSheetId="7">#REF!</definedName>
    <definedName name="STARTPERIODYEAR1">#REF!</definedName>
    <definedName name="SuperiorCourt">'[8]TC-145 Template'!$W$1</definedName>
    <definedName name="TableName">"Dummy"</definedName>
    <definedName name="UPDATELOGICTYPE1" localSheetId="11">#REF!</definedName>
    <definedName name="UPDATELOGICTYPE1" localSheetId="7">#REF!</definedName>
    <definedName name="UPDATELOGICTYPE1">#REF!</definedName>
    <definedName name="xxx">[9]Code!$F$1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7" i="41" l="1"/>
  <c r="T7" i="41"/>
  <c r="Q7" i="41"/>
  <c r="L27" i="41"/>
  <c r="L49" i="41"/>
  <c r="K7" i="72"/>
  <c r="I7" i="41"/>
  <c r="H7" i="41"/>
  <c r="F7" i="41"/>
  <c r="D7" i="41"/>
  <c r="N3" i="141"/>
  <c r="M3" i="141"/>
  <c r="E4" i="141"/>
  <c r="E5" i="141"/>
  <c r="E6" i="141"/>
  <c r="E7" i="141"/>
  <c r="E8" i="141"/>
  <c r="E9" i="141"/>
  <c r="E10" i="141"/>
  <c r="E11" i="141"/>
  <c r="E12" i="141"/>
  <c r="E13" i="141"/>
  <c r="E14" i="141"/>
  <c r="E15" i="141"/>
  <c r="E16" i="141"/>
  <c r="E17" i="141"/>
  <c r="E18" i="141"/>
  <c r="E19" i="141"/>
  <c r="E20" i="141"/>
  <c r="E21" i="141"/>
  <c r="E22" i="141"/>
  <c r="E23" i="141"/>
  <c r="E24" i="141"/>
  <c r="E25" i="141"/>
  <c r="E26" i="141"/>
  <c r="E27" i="141"/>
  <c r="E28" i="141"/>
  <c r="E29" i="141"/>
  <c r="E30" i="141"/>
  <c r="E31" i="141"/>
  <c r="E32" i="141"/>
  <c r="E33" i="141"/>
  <c r="E34" i="141"/>
  <c r="E35" i="141"/>
  <c r="E36" i="141"/>
  <c r="E37" i="141"/>
  <c r="E38" i="141"/>
  <c r="E39" i="141"/>
  <c r="E40" i="141"/>
  <c r="E41" i="141"/>
  <c r="E42" i="141"/>
  <c r="E43" i="141"/>
  <c r="E44" i="141"/>
  <c r="E45" i="141"/>
  <c r="E46" i="141"/>
  <c r="E47" i="141"/>
  <c r="E48" i="141"/>
  <c r="E49" i="141"/>
  <c r="E50" i="141"/>
  <c r="E51" i="141"/>
  <c r="E52" i="141"/>
  <c r="E53" i="141"/>
  <c r="E54" i="141"/>
  <c r="E55" i="141"/>
  <c r="E56" i="141"/>
  <c r="E57" i="141"/>
  <c r="E58" i="141"/>
  <c r="E59" i="141"/>
  <c r="E60" i="141"/>
  <c r="E61" i="141"/>
  <c r="E3" i="141"/>
  <c r="J3" i="141" l="1"/>
  <c r="I7" i="145" l="1"/>
  <c r="E65" i="145"/>
  <c r="D65" i="145"/>
  <c r="K7" i="41"/>
  <c r="E67" i="145"/>
  <c r="D67" i="145"/>
  <c r="F64" i="80"/>
  <c r="F66" i="80"/>
  <c r="M65" i="83"/>
  <c r="E5" i="148"/>
  <c r="E63" i="148"/>
  <c r="E7" i="148"/>
  <c r="E17" i="148"/>
  <c r="H7" i="145"/>
  <c r="I13" i="145"/>
  <c r="I11" i="145"/>
  <c r="I9" i="145"/>
  <c r="C65" i="146"/>
  <c r="C67" i="146"/>
  <c r="D65" i="146"/>
  <c r="D67" i="146"/>
  <c r="E65" i="146"/>
  <c r="E67" i="146"/>
  <c r="B65" i="146"/>
  <c r="B67" i="146"/>
  <c r="C65" i="143"/>
  <c r="C67" i="143"/>
  <c r="D65" i="143"/>
  <c r="D67" i="143"/>
  <c r="E65" i="143"/>
  <c r="E67" i="143"/>
  <c r="B65" i="143"/>
  <c r="B67" i="143"/>
  <c r="H11" i="145"/>
  <c r="H13" i="145"/>
  <c r="H9" i="145"/>
  <c r="E7" i="41"/>
  <c r="F65" i="41"/>
  <c r="C6" i="72"/>
  <c r="D6" i="72" s="1"/>
  <c r="C6" i="80"/>
  <c r="D6" i="80"/>
  <c r="F6" i="80"/>
  <c r="C7" i="80"/>
  <c r="D7" i="80"/>
  <c r="F7" i="80"/>
  <c r="C8" i="80"/>
  <c r="D8" i="80"/>
  <c r="F8" i="80"/>
  <c r="C9" i="80"/>
  <c r="D9" i="80"/>
  <c r="F9" i="80"/>
  <c r="C10" i="80"/>
  <c r="D10" i="80"/>
  <c r="F10" i="80"/>
  <c r="C11" i="80"/>
  <c r="D11" i="80"/>
  <c r="F11" i="80"/>
  <c r="C12" i="80"/>
  <c r="D12" i="80"/>
  <c r="F12" i="80"/>
  <c r="C13" i="80"/>
  <c r="D13" i="80"/>
  <c r="F13" i="80"/>
  <c r="C14" i="80"/>
  <c r="D14" i="80"/>
  <c r="F14" i="80"/>
  <c r="C15" i="80"/>
  <c r="D15" i="80"/>
  <c r="F15" i="80"/>
  <c r="C16" i="80"/>
  <c r="D16" i="80"/>
  <c r="F16" i="80"/>
  <c r="C17" i="80"/>
  <c r="D17" i="80"/>
  <c r="F17" i="80"/>
  <c r="C18" i="80"/>
  <c r="D18" i="80"/>
  <c r="F18" i="80"/>
  <c r="C19" i="80"/>
  <c r="D19" i="80"/>
  <c r="F19" i="80"/>
  <c r="C20" i="80"/>
  <c r="D20" i="80"/>
  <c r="F20" i="80"/>
  <c r="C21" i="80"/>
  <c r="D21" i="80"/>
  <c r="F21" i="80"/>
  <c r="C22" i="80"/>
  <c r="D22" i="80"/>
  <c r="F22" i="80"/>
  <c r="C23" i="80"/>
  <c r="D23" i="80"/>
  <c r="F23" i="80"/>
  <c r="C24" i="80"/>
  <c r="D24" i="80"/>
  <c r="F24" i="80"/>
  <c r="C25" i="80"/>
  <c r="D25" i="80"/>
  <c r="F25" i="80"/>
  <c r="C26" i="80"/>
  <c r="D26" i="80"/>
  <c r="F26" i="80"/>
  <c r="C27" i="80"/>
  <c r="D27" i="80"/>
  <c r="F27" i="80"/>
  <c r="C28" i="80"/>
  <c r="D28" i="80"/>
  <c r="F28" i="80"/>
  <c r="C29" i="80"/>
  <c r="D29" i="80"/>
  <c r="F29" i="80"/>
  <c r="C30" i="80"/>
  <c r="D30" i="80"/>
  <c r="F30" i="80"/>
  <c r="C31" i="80"/>
  <c r="D31" i="80"/>
  <c r="F31" i="80"/>
  <c r="C32" i="80"/>
  <c r="D32" i="80"/>
  <c r="F32" i="80"/>
  <c r="C33" i="80"/>
  <c r="D33" i="80"/>
  <c r="F33" i="80"/>
  <c r="C34" i="80"/>
  <c r="D34" i="80"/>
  <c r="F34" i="80"/>
  <c r="C35" i="80"/>
  <c r="D35" i="80"/>
  <c r="F35" i="80"/>
  <c r="C36" i="80"/>
  <c r="D36" i="80"/>
  <c r="F36" i="80"/>
  <c r="C37" i="80"/>
  <c r="D37" i="80"/>
  <c r="F37" i="80"/>
  <c r="C38" i="80"/>
  <c r="D38" i="80"/>
  <c r="F38" i="80"/>
  <c r="C39" i="80"/>
  <c r="D39" i="80"/>
  <c r="F39" i="80"/>
  <c r="C40" i="80"/>
  <c r="D40" i="80"/>
  <c r="F40" i="80"/>
  <c r="C41" i="80"/>
  <c r="D41" i="80"/>
  <c r="F41" i="80"/>
  <c r="C42" i="80"/>
  <c r="D42" i="80"/>
  <c r="F42" i="80"/>
  <c r="C43" i="80"/>
  <c r="D43" i="80"/>
  <c r="F43" i="80"/>
  <c r="C44" i="80"/>
  <c r="D44" i="80"/>
  <c r="F44" i="80"/>
  <c r="C45" i="80"/>
  <c r="D45" i="80"/>
  <c r="F45" i="80"/>
  <c r="C46" i="80"/>
  <c r="D46" i="80"/>
  <c r="F46" i="80"/>
  <c r="C47" i="80"/>
  <c r="D47" i="80"/>
  <c r="F47" i="80"/>
  <c r="C48" i="80"/>
  <c r="D48" i="80"/>
  <c r="F48" i="80"/>
  <c r="C49" i="80"/>
  <c r="D49" i="80"/>
  <c r="F49" i="80"/>
  <c r="C50" i="80"/>
  <c r="D50" i="80"/>
  <c r="F50" i="80"/>
  <c r="C51" i="80"/>
  <c r="D51" i="80"/>
  <c r="F51" i="80"/>
  <c r="C52" i="80"/>
  <c r="D52" i="80"/>
  <c r="F52" i="80"/>
  <c r="C53" i="80"/>
  <c r="D53" i="80"/>
  <c r="F53" i="80"/>
  <c r="C54" i="80"/>
  <c r="D54" i="80"/>
  <c r="F54" i="80"/>
  <c r="C55" i="80"/>
  <c r="D55" i="80"/>
  <c r="F55" i="80"/>
  <c r="C56" i="80"/>
  <c r="D56" i="80"/>
  <c r="F56" i="80"/>
  <c r="C57" i="80"/>
  <c r="D57" i="80"/>
  <c r="F57" i="80"/>
  <c r="C58" i="80"/>
  <c r="D58" i="80"/>
  <c r="F58" i="80"/>
  <c r="C59" i="80"/>
  <c r="D59" i="80"/>
  <c r="F59" i="80"/>
  <c r="C60" i="80"/>
  <c r="D60" i="80"/>
  <c r="F60" i="80"/>
  <c r="C61" i="80"/>
  <c r="D61" i="80"/>
  <c r="F61" i="80"/>
  <c r="C62" i="80"/>
  <c r="D62" i="80"/>
  <c r="F62" i="80"/>
  <c r="C63" i="80"/>
  <c r="D63" i="80"/>
  <c r="F63" i="80"/>
  <c r="E6" i="72"/>
  <c r="F6" i="72" s="1"/>
  <c r="K6" i="72" s="1"/>
  <c r="E8" i="41"/>
  <c r="D8" i="41"/>
  <c r="F8" i="41"/>
  <c r="E7" i="72"/>
  <c r="F7" i="72" s="1"/>
  <c r="C7" i="72"/>
  <c r="D7" i="72" s="1"/>
  <c r="E9" i="41"/>
  <c r="D9" i="41"/>
  <c r="F9" i="41"/>
  <c r="E8" i="72"/>
  <c r="F8" i="72" s="1"/>
  <c r="C8" i="72"/>
  <c r="D8" i="72" s="1"/>
  <c r="E10" i="41"/>
  <c r="D10" i="41"/>
  <c r="F10" i="41"/>
  <c r="E9" i="72"/>
  <c r="F9" i="72" s="1"/>
  <c r="K9" i="72" s="1"/>
  <c r="C9" i="72"/>
  <c r="D9" i="72" s="1"/>
  <c r="E11" i="41"/>
  <c r="D11" i="41"/>
  <c r="F11" i="41"/>
  <c r="E10" i="72"/>
  <c r="F10" i="72" s="1"/>
  <c r="C10" i="72"/>
  <c r="D10" i="72" s="1"/>
  <c r="E12" i="41"/>
  <c r="D12" i="41"/>
  <c r="F12" i="41"/>
  <c r="E11" i="72"/>
  <c r="F11" i="72" s="1"/>
  <c r="C11" i="72"/>
  <c r="D11" i="72" s="1"/>
  <c r="E13" i="41"/>
  <c r="D13" i="41"/>
  <c r="F13" i="41"/>
  <c r="E12" i="72"/>
  <c r="F12" i="72" s="1"/>
  <c r="C12" i="72"/>
  <c r="D12" i="72" s="1"/>
  <c r="E14" i="41"/>
  <c r="D14" i="41"/>
  <c r="F14" i="41"/>
  <c r="E13" i="72"/>
  <c r="F13" i="72" s="1"/>
  <c r="C13" i="72"/>
  <c r="D13" i="72" s="1"/>
  <c r="E15" i="41"/>
  <c r="D15" i="41"/>
  <c r="F15" i="41"/>
  <c r="E14" i="72"/>
  <c r="F14" i="72" s="1"/>
  <c r="K14" i="72" s="1"/>
  <c r="C14" i="72"/>
  <c r="D14" i="72" s="1"/>
  <c r="E16" i="41"/>
  <c r="D16" i="41"/>
  <c r="F16" i="41"/>
  <c r="E15" i="72"/>
  <c r="F15" i="72" s="1"/>
  <c r="C15" i="72"/>
  <c r="D15" i="72" s="1"/>
  <c r="I16" i="41" s="1"/>
  <c r="E17" i="41"/>
  <c r="D17" i="41"/>
  <c r="F17" i="41"/>
  <c r="E16" i="72"/>
  <c r="F16" i="72" s="1"/>
  <c r="C16" i="72"/>
  <c r="D16" i="72" s="1"/>
  <c r="E18" i="41"/>
  <c r="D18" i="41"/>
  <c r="F18" i="41"/>
  <c r="E17" i="72"/>
  <c r="F17" i="72" s="1"/>
  <c r="C17" i="72"/>
  <c r="D17" i="72" s="1"/>
  <c r="I18" i="41" s="1"/>
  <c r="E19" i="41"/>
  <c r="D19" i="41"/>
  <c r="F19" i="41"/>
  <c r="E18" i="72"/>
  <c r="F18" i="72" s="1"/>
  <c r="C18" i="72"/>
  <c r="D18" i="72" s="1"/>
  <c r="I19" i="41" s="1"/>
  <c r="E20" i="41"/>
  <c r="D20" i="41"/>
  <c r="F20" i="41"/>
  <c r="E19" i="72"/>
  <c r="F19" i="72" s="1"/>
  <c r="C19" i="72"/>
  <c r="D19" i="72" s="1"/>
  <c r="I20" i="41" s="1"/>
  <c r="E21" i="41"/>
  <c r="D21" i="41"/>
  <c r="F21" i="41"/>
  <c r="E20" i="72"/>
  <c r="F20" i="72" s="1"/>
  <c r="K20" i="72" s="1"/>
  <c r="C20" i="72"/>
  <c r="D20" i="72" s="1"/>
  <c r="E22" i="41"/>
  <c r="D22" i="41"/>
  <c r="F22" i="41"/>
  <c r="E21" i="72"/>
  <c r="F21" i="72" s="1"/>
  <c r="K21" i="72" s="1"/>
  <c r="C21" i="72"/>
  <c r="D21" i="72" s="1"/>
  <c r="I22" i="41" s="1"/>
  <c r="E23" i="41"/>
  <c r="D23" i="41"/>
  <c r="F23" i="41"/>
  <c r="E22" i="72"/>
  <c r="F22" i="72" s="1"/>
  <c r="C22" i="72"/>
  <c r="D22" i="72" s="1"/>
  <c r="I23" i="41" s="1"/>
  <c r="E24" i="41"/>
  <c r="D24" i="41"/>
  <c r="F24" i="41"/>
  <c r="E23" i="72"/>
  <c r="F23" i="72" s="1"/>
  <c r="C23" i="72"/>
  <c r="D23" i="72" s="1"/>
  <c r="I24" i="41" s="1"/>
  <c r="E25" i="41"/>
  <c r="D25" i="41"/>
  <c r="F25" i="41"/>
  <c r="E24" i="72"/>
  <c r="F24" i="72" s="1"/>
  <c r="K24" i="72" s="1"/>
  <c r="C24" i="72"/>
  <c r="D24" i="72" s="1"/>
  <c r="E26" i="41"/>
  <c r="D26" i="41"/>
  <c r="F26" i="41"/>
  <c r="E25" i="72"/>
  <c r="F25" i="72" s="1"/>
  <c r="C25" i="72"/>
  <c r="D25" i="72" s="1"/>
  <c r="I26" i="41" s="1"/>
  <c r="E27" i="41"/>
  <c r="D27" i="41"/>
  <c r="F27" i="41"/>
  <c r="E26" i="72"/>
  <c r="F26" i="72" s="1"/>
  <c r="K26" i="72" s="1"/>
  <c r="C26" i="72"/>
  <c r="D26" i="72" s="1"/>
  <c r="E28" i="41"/>
  <c r="D28" i="41"/>
  <c r="F28" i="41"/>
  <c r="E27" i="72"/>
  <c r="F27" i="72" s="1"/>
  <c r="C27" i="72"/>
  <c r="D27" i="72" s="1"/>
  <c r="I28" i="41" s="1"/>
  <c r="E29" i="41"/>
  <c r="D29" i="41"/>
  <c r="F29" i="41"/>
  <c r="E28" i="72"/>
  <c r="F28" i="72" s="1"/>
  <c r="K28" i="72" s="1"/>
  <c r="C28" i="72"/>
  <c r="D28" i="72" s="1"/>
  <c r="I29" i="41" s="1"/>
  <c r="E30" i="41"/>
  <c r="D30" i="41"/>
  <c r="F30" i="41"/>
  <c r="E29" i="72"/>
  <c r="F29" i="72" s="1"/>
  <c r="C29" i="72"/>
  <c r="D29" i="72" s="1"/>
  <c r="I30" i="41" s="1"/>
  <c r="K29" i="72"/>
  <c r="E31" i="41"/>
  <c r="D31" i="41"/>
  <c r="F31" i="41"/>
  <c r="E30" i="72"/>
  <c r="F30" i="72" s="1"/>
  <c r="C30" i="72"/>
  <c r="D30" i="72" s="1"/>
  <c r="I31" i="41" s="1"/>
  <c r="E32" i="41"/>
  <c r="D32" i="41"/>
  <c r="F32" i="41"/>
  <c r="E31" i="72"/>
  <c r="F31" i="72" s="1"/>
  <c r="C31" i="72"/>
  <c r="D31" i="72" s="1"/>
  <c r="I32" i="41" s="1"/>
  <c r="E33" i="41"/>
  <c r="D33" i="41"/>
  <c r="F33" i="41"/>
  <c r="E32" i="72"/>
  <c r="F32" i="72" s="1"/>
  <c r="C32" i="72"/>
  <c r="D32" i="72" s="1"/>
  <c r="K32" i="72"/>
  <c r="E34" i="41"/>
  <c r="D34" i="41"/>
  <c r="F34" i="41"/>
  <c r="E33" i="72"/>
  <c r="F33" i="72" s="1"/>
  <c r="C33" i="72"/>
  <c r="D33" i="72" s="1"/>
  <c r="I34" i="41" s="1"/>
  <c r="E35" i="41"/>
  <c r="D35" i="41"/>
  <c r="F35" i="41"/>
  <c r="E34" i="72"/>
  <c r="F34" i="72" s="1"/>
  <c r="C34" i="72"/>
  <c r="D34" i="72" s="1"/>
  <c r="I35" i="41" s="1"/>
  <c r="E36" i="41"/>
  <c r="D36" i="41"/>
  <c r="F36" i="41"/>
  <c r="E35" i="72"/>
  <c r="F35" i="72" s="1"/>
  <c r="K35" i="72" s="1"/>
  <c r="C35" i="72"/>
  <c r="D35" i="72" s="1"/>
  <c r="E37" i="41"/>
  <c r="D37" i="41"/>
  <c r="F37" i="41"/>
  <c r="E36" i="72"/>
  <c r="F36" i="72" s="1"/>
  <c r="K36" i="72" s="1"/>
  <c r="C36" i="72"/>
  <c r="D36" i="72" s="1"/>
  <c r="E38" i="41"/>
  <c r="D38" i="41"/>
  <c r="F38" i="41"/>
  <c r="E37" i="72"/>
  <c r="F37" i="72" s="1"/>
  <c r="C37" i="72"/>
  <c r="D37" i="72" s="1"/>
  <c r="I38" i="41" s="1"/>
  <c r="E39" i="41"/>
  <c r="D39" i="41"/>
  <c r="F39" i="41"/>
  <c r="E38" i="72"/>
  <c r="F38" i="72" s="1"/>
  <c r="K38" i="72" s="1"/>
  <c r="C38" i="72"/>
  <c r="D38" i="72" s="1"/>
  <c r="I39" i="41" s="1"/>
  <c r="E40" i="41"/>
  <c r="D40" i="41"/>
  <c r="F40" i="41"/>
  <c r="E39" i="72"/>
  <c r="F39" i="72" s="1"/>
  <c r="C39" i="72"/>
  <c r="D39" i="72" s="1"/>
  <c r="I40" i="41" s="1"/>
  <c r="E41" i="41"/>
  <c r="D41" i="41"/>
  <c r="F41" i="41"/>
  <c r="E40" i="72"/>
  <c r="F40" i="72" s="1"/>
  <c r="C40" i="72"/>
  <c r="D40" i="72" s="1"/>
  <c r="E42" i="41"/>
  <c r="D42" i="41"/>
  <c r="F42" i="41"/>
  <c r="E41" i="72"/>
  <c r="F41" i="72" s="1"/>
  <c r="K41" i="72" s="1"/>
  <c r="C41" i="72"/>
  <c r="D41" i="72" s="1"/>
  <c r="E43" i="41"/>
  <c r="D43" i="41"/>
  <c r="F43" i="41"/>
  <c r="E42" i="72"/>
  <c r="F42" i="72" s="1"/>
  <c r="C42" i="72"/>
  <c r="D42" i="72" s="1"/>
  <c r="I43" i="41" s="1"/>
  <c r="E44" i="41"/>
  <c r="D44" i="41"/>
  <c r="F44" i="41"/>
  <c r="E43" i="72"/>
  <c r="F43" i="72" s="1"/>
  <c r="C43" i="72"/>
  <c r="D43" i="72" s="1"/>
  <c r="I44" i="41" s="1"/>
  <c r="E45" i="41"/>
  <c r="D45" i="41"/>
  <c r="F45" i="41"/>
  <c r="E44" i="72"/>
  <c r="F44" i="72" s="1"/>
  <c r="K44" i="72" s="1"/>
  <c r="C44" i="72"/>
  <c r="D44" i="72" s="1"/>
  <c r="I45" i="41" s="1"/>
  <c r="E46" i="41"/>
  <c r="D46" i="41"/>
  <c r="F46" i="41"/>
  <c r="E45" i="72"/>
  <c r="F45" i="72" s="1"/>
  <c r="G45" i="72" s="1"/>
  <c r="C45" i="72"/>
  <c r="D45" i="72" s="1"/>
  <c r="I46" i="41" s="1"/>
  <c r="E47" i="41"/>
  <c r="D47" i="41"/>
  <c r="F47" i="41"/>
  <c r="E46" i="72"/>
  <c r="F46" i="72" s="1"/>
  <c r="K46" i="72" s="1"/>
  <c r="C46" i="72"/>
  <c r="D46" i="72" s="1"/>
  <c r="E48" i="41"/>
  <c r="D48" i="41"/>
  <c r="F48" i="41"/>
  <c r="E47" i="72"/>
  <c r="F47" i="72" s="1"/>
  <c r="C47" i="72"/>
  <c r="D47" i="72" s="1"/>
  <c r="I48" i="41" s="1"/>
  <c r="E49" i="41"/>
  <c r="D49" i="41"/>
  <c r="F49" i="41"/>
  <c r="E48" i="72"/>
  <c r="F48" i="72" s="1"/>
  <c r="K48" i="72" s="1"/>
  <c r="C48" i="72"/>
  <c r="D48" i="72" s="1"/>
  <c r="I49" i="41" s="1"/>
  <c r="E50" i="41"/>
  <c r="D50" i="41"/>
  <c r="F50" i="41"/>
  <c r="E49" i="72"/>
  <c r="F49" i="72" s="1"/>
  <c r="C49" i="72"/>
  <c r="D49" i="72" s="1"/>
  <c r="I50" i="41" s="1"/>
  <c r="E51" i="41"/>
  <c r="D51" i="41"/>
  <c r="F51" i="41"/>
  <c r="E50" i="72"/>
  <c r="F50" i="72" s="1"/>
  <c r="K50" i="72" s="1"/>
  <c r="C50" i="72"/>
  <c r="D50" i="72" s="1"/>
  <c r="E52" i="41"/>
  <c r="D52" i="41"/>
  <c r="F52" i="41"/>
  <c r="E51" i="72"/>
  <c r="F51" i="72" s="1"/>
  <c r="C51" i="72"/>
  <c r="D51" i="72" s="1"/>
  <c r="I52" i="41" s="1"/>
  <c r="E53" i="41"/>
  <c r="D53" i="41"/>
  <c r="F53" i="41"/>
  <c r="E52" i="72"/>
  <c r="F52" i="72" s="1"/>
  <c r="C52" i="72"/>
  <c r="D52" i="72" s="1"/>
  <c r="E54" i="41"/>
  <c r="D54" i="41"/>
  <c r="F54" i="41"/>
  <c r="E53" i="72"/>
  <c r="F53" i="72" s="1"/>
  <c r="C53" i="72"/>
  <c r="D53" i="72" s="1"/>
  <c r="I54" i="41" s="1"/>
  <c r="E55" i="41"/>
  <c r="D55" i="41"/>
  <c r="F55" i="41"/>
  <c r="E54" i="72"/>
  <c r="F54" i="72" s="1"/>
  <c r="K54" i="72" s="1"/>
  <c r="C54" i="72"/>
  <c r="D54" i="72" s="1"/>
  <c r="I55" i="41" s="1"/>
  <c r="E56" i="41"/>
  <c r="D56" i="41"/>
  <c r="F56" i="41"/>
  <c r="E55" i="72"/>
  <c r="F55" i="72" s="1"/>
  <c r="C55" i="72"/>
  <c r="D55" i="72" s="1"/>
  <c r="I56" i="41" s="1"/>
  <c r="E57" i="41"/>
  <c r="D57" i="41"/>
  <c r="F57" i="41"/>
  <c r="E56" i="72"/>
  <c r="F56" i="72" s="1"/>
  <c r="K56" i="72" s="1"/>
  <c r="C56" i="72"/>
  <c r="D56" i="72" s="1"/>
  <c r="I57" i="41" s="1"/>
  <c r="E58" i="41"/>
  <c r="D58" i="41"/>
  <c r="F58" i="41"/>
  <c r="E57" i="72"/>
  <c r="F57" i="72" s="1"/>
  <c r="K57" i="72" s="1"/>
  <c r="C57" i="72"/>
  <c r="D57" i="72" s="1"/>
  <c r="I58" i="41" s="1"/>
  <c r="E59" i="41"/>
  <c r="D59" i="41"/>
  <c r="F59" i="41"/>
  <c r="E58" i="72"/>
  <c r="F58" i="72" s="1"/>
  <c r="C58" i="72"/>
  <c r="D58" i="72" s="1"/>
  <c r="I59" i="41" s="1"/>
  <c r="E60" i="41"/>
  <c r="D60" i="41"/>
  <c r="F60" i="41"/>
  <c r="E59" i="72"/>
  <c r="F59" i="72" s="1"/>
  <c r="C59" i="72"/>
  <c r="D59" i="72" s="1"/>
  <c r="I60" i="41" s="1"/>
  <c r="E61" i="41"/>
  <c r="D61" i="41"/>
  <c r="F61" i="41"/>
  <c r="E60" i="72"/>
  <c r="F60" i="72" s="1"/>
  <c r="C60" i="72"/>
  <c r="D60" i="72" s="1"/>
  <c r="E62" i="41"/>
  <c r="D62" i="41"/>
  <c r="F62" i="41"/>
  <c r="E61" i="72"/>
  <c r="F61" i="72" s="1"/>
  <c r="K61" i="72" s="1"/>
  <c r="C61" i="72"/>
  <c r="D61" i="72" s="1"/>
  <c r="I62" i="41" s="1"/>
  <c r="E63" i="41"/>
  <c r="D63" i="41"/>
  <c r="F63" i="41"/>
  <c r="E62" i="72"/>
  <c r="F62" i="72" s="1"/>
  <c r="C62" i="72"/>
  <c r="D62" i="72" s="1"/>
  <c r="I63" i="41" s="1"/>
  <c r="E64" i="41"/>
  <c r="D64" i="41"/>
  <c r="F64" i="41"/>
  <c r="E63" i="72"/>
  <c r="F63" i="72" s="1"/>
  <c r="C63" i="72"/>
  <c r="D63" i="72" s="1"/>
  <c r="I64" i="41" s="1"/>
  <c r="N7" i="41"/>
  <c r="L7" i="41" s="1"/>
  <c r="N8" i="41"/>
  <c r="L8" i="41" s="1"/>
  <c r="K8" i="41"/>
  <c r="G7" i="143"/>
  <c r="R7" i="41"/>
  <c r="F7" i="143"/>
  <c r="C64" i="80"/>
  <c r="D64" i="80"/>
  <c r="N52" i="41"/>
  <c r="L52" i="41" s="1"/>
  <c r="F52" i="146"/>
  <c r="S52" i="41"/>
  <c r="G52" i="146"/>
  <c r="T52" i="41"/>
  <c r="K52" i="41"/>
  <c r="N59" i="41"/>
  <c r="L59" i="41" s="1"/>
  <c r="K59" i="41"/>
  <c r="N60" i="41"/>
  <c r="L60" i="41" s="1"/>
  <c r="K60" i="41"/>
  <c r="N61" i="41"/>
  <c r="L61" i="41" s="1"/>
  <c r="K61" i="41"/>
  <c r="N62" i="41"/>
  <c r="L62" i="41" s="1"/>
  <c r="K62" i="41"/>
  <c r="N63" i="41"/>
  <c r="L63" i="41" s="1"/>
  <c r="K63" i="41"/>
  <c r="N64" i="41"/>
  <c r="L64" i="41" s="1"/>
  <c r="K64" i="41"/>
  <c r="N53" i="41"/>
  <c r="L53" i="41" s="1"/>
  <c r="K53" i="41"/>
  <c r="N54" i="41"/>
  <c r="L54" i="41" s="1"/>
  <c r="K54" i="41"/>
  <c r="N55" i="41"/>
  <c r="L55" i="41" s="1"/>
  <c r="K55" i="41"/>
  <c r="N56" i="41"/>
  <c r="L56" i="41" s="1"/>
  <c r="K56" i="41"/>
  <c r="N57" i="41"/>
  <c r="L57" i="41" s="1"/>
  <c r="K57" i="41"/>
  <c r="N58" i="41"/>
  <c r="L58" i="41" s="1"/>
  <c r="K58" i="41"/>
  <c r="N23" i="41"/>
  <c r="L23" i="41" s="1"/>
  <c r="K23" i="41"/>
  <c r="N24" i="41"/>
  <c r="L24" i="41" s="1"/>
  <c r="K24" i="41"/>
  <c r="N25" i="41"/>
  <c r="L25" i="41" s="1"/>
  <c r="K25" i="41"/>
  <c r="N26" i="41"/>
  <c r="L26" i="41" s="1"/>
  <c r="K26" i="41"/>
  <c r="N27" i="41"/>
  <c r="K27" i="41"/>
  <c r="N28" i="41"/>
  <c r="L28" i="41" s="1"/>
  <c r="K28" i="41"/>
  <c r="N29" i="41"/>
  <c r="L29" i="41" s="1"/>
  <c r="K29" i="41"/>
  <c r="N30" i="41"/>
  <c r="L30" i="41" s="1"/>
  <c r="K30" i="41"/>
  <c r="N31" i="41"/>
  <c r="L31" i="41" s="1"/>
  <c r="K31" i="41"/>
  <c r="N32" i="41"/>
  <c r="L32" i="41" s="1"/>
  <c r="K32" i="41"/>
  <c r="N33" i="41"/>
  <c r="L33" i="41" s="1"/>
  <c r="K33" i="41"/>
  <c r="N34" i="41"/>
  <c r="L34" i="41" s="1"/>
  <c r="K34" i="41"/>
  <c r="N35" i="41"/>
  <c r="L35" i="41" s="1"/>
  <c r="K35" i="41"/>
  <c r="N36" i="41"/>
  <c r="L36" i="41" s="1"/>
  <c r="K36" i="41"/>
  <c r="N37" i="41"/>
  <c r="L37" i="41" s="1"/>
  <c r="K37" i="41"/>
  <c r="N38" i="41"/>
  <c r="L38" i="41" s="1"/>
  <c r="K38" i="41"/>
  <c r="N39" i="41"/>
  <c r="L39" i="41" s="1"/>
  <c r="K39" i="41"/>
  <c r="N40" i="41"/>
  <c r="L40" i="41" s="1"/>
  <c r="K40" i="41"/>
  <c r="N41" i="41"/>
  <c r="K41" i="41"/>
  <c r="L41" i="41"/>
  <c r="N42" i="41"/>
  <c r="L42" i="41" s="1"/>
  <c r="K42" i="41"/>
  <c r="N43" i="41"/>
  <c r="L43" i="41" s="1"/>
  <c r="K43" i="41"/>
  <c r="N44" i="41"/>
  <c r="L44" i="41" s="1"/>
  <c r="K44" i="41"/>
  <c r="N45" i="41"/>
  <c r="L45" i="41" s="1"/>
  <c r="K45" i="41"/>
  <c r="N46" i="41"/>
  <c r="L46" i="41" s="1"/>
  <c r="K46" i="41"/>
  <c r="N47" i="41"/>
  <c r="L47" i="41" s="1"/>
  <c r="K47" i="41"/>
  <c r="N48" i="41"/>
  <c r="L48" i="41" s="1"/>
  <c r="K48" i="41"/>
  <c r="N49" i="41"/>
  <c r="K49" i="41"/>
  <c r="N50" i="41"/>
  <c r="L50" i="41" s="1"/>
  <c r="K50" i="41"/>
  <c r="N51" i="41"/>
  <c r="L51" i="41" s="1"/>
  <c r="K51" i="41"/>
  <c r="N13" i="41"/>
  <c r="L13" i="41" s="1"/>
  <c r="K13" i="41"/>
  <c r="N14" i="41"/>
  <c r="L14" i="41" s="1"/>
  <c r="K14" i="41"/>
  <c r="N15" i="41"/>
  <c r="L15" i="41" s="1"/>
  <c r="K15" i="41"/>
  <c r="N16" i="41"/>
  <c r="L16" i="41" s="1"/>
  <c r="K16" i="41"/>
  <c r="N17" i="41"/>
  <c r="L17" i="41" s="1"/>
  <c r="K17" i="41"/>
  <c r="N18" i="41"/>
  <c r="L18" i="41" s="1"/>
  <c r="K18" i="41"/>
  <c r="N19" i="41"/>
  <c r="L19" i="41" s="1"/>
  <c r="K19" i="41"/>
  <c r="N20" i="41"/>
  <c r="L20" i="41" s="1"/>
  <c r="K20" i="41"/>
  <c r="N21" i="41"/>
  <c r="L21" i="41" s="1"/>
  <c r="K21" i="41"/>
  <c r="N22" i="41"/>
  <c r="L22" i="41" s="1"/>
  <c r="K22" i="41"/>
  <c r="N9" i="41"/>
  <c r="L9" i="41" s="1"/>
  <c r="K9" i="41"/>
  <c r="N10" i="41"/>
  <c r="L10" i="41" s="1"/>
  <c r="K10" i="41"/>
  <c r="N11" i="41"/>
  <c r="L11" i="41" s="1"/>
  <c r="K11" i="41"/>
  <c r="N12" i="41"/>
  <c r="L12" i="41" s="1"/>
  <c r="K12" i="41"/>
  <c r="C63" i="148"/>
  <c r="E6" i="148"/>
  <c r="E8" i="148"/>
  <c r="E9" i="148"/>
  <c r="E10" i="148"/>
  <c r="E11" i="148"/>
  <c r="E12" i="148"/>
  <c r="E13" i="148"/>
  <c r="E14" i="148"/>
  <c r="E15" i="148"/>
  <c r="E16" i="148"/>
  <c r="E18" i="148"/>
  <c r="E19" i="148"/>
  <c r="E20" i="148"/>
  <c r="E21" i="148"/>
  <c r="E22" i="148"/>
  <c r="E23" i="148"/>
  <c r="E24" i="148"/>
  <c r="E25" i="148"/>
  <c r="E26" i="148"/>
  <c r="E27" i="148"/>
  <c r="E28" i="148"/>
  <c r="E29" i="148"/>
  <c r="E30" i="148"/>
  <c r="E31" i="148"/>
  <c r="E32" i="148"/>
  <c r="E33" i="148"/>
  <c r="E34" i="148"/>
  <c r="E35" i="148"/>
  <c r="E36" i="148"/>
  <c r="E37" i="148"/>
  <c r="E38" i="148"/>
  <c r="E39" i="148"/>
  <c r="E40" i="148"/>
  <c r="E41" i="148"/>
  <c r="E42" i="148"/>
  <c r="E43" i="148"/>
  <c r="E44" i="148"/>
  <c r="E45" i="148"/>
  <c r="E46" i="148"/>
  <c r="E47" i="148"/>
  <c r="E48" i="148"/>
  <c r="E49" i="148"/>
  <c r="E50" i="148"/>
  <c r="E51" i="148"/>
  <c r="E52" i="148"/>
  <c r="E53" i="148"/>
  <c r="E54" i="148"/>
  <c r="E55" i="148"/>
  <c r="E56" i="148"/>
  <c r="E57" i="148"/>
  <c r="E58" i="148"/>
  <c r="E59" i="148"/>
  <c r="E60" i="148"/>
  <c r="E61" i="148"/>
  <c r="E62" i="148"/>
  <c r="D63" i="148"/>
  <c r="AA52" i="41"/>
  <c r="AA59" i="41"/>
  <c r="AA8" i="41"/>
  <c r="AA64" i="41"/>
  <c r="AA63" i="41"/>
  <c r="AA62" i="41"/>
  <c r="AA61" i="41"/>
  <c r="AA60" i="41"/>
  <c r="AA58" i="41"/>
  <c r="AA57" i="41"/>
  <c r="AA56" i="41"/>
  <c r="AA55" i="41"/>
  <c r="AA54" i="41"/>
  <c r="AA53" i="41"/>
  <c r="AA51" i="41"/>
  <c r="AA50" i="41"/>
  <c r="AA49" i="41"/>
  <c r="AA48" i="41"/>
  <c r="AA47" i="41"/>
  <c r="AA46" i="41"/>
  <c r="AA45" i="41"/>
  <c r="AA44" i="41"/>
  <c r="AA43" i="41"/>
  <c r="AA42" i="41"/>
  <c r="AA41" i="41"/>
  <c r="AA40" i="41"/>
  <c r="AA39" i="41"/>
  <c r="AA38" i="41"/>
  <c r="AA37" i="41"/>
  <c r="AA36" i="41"/>
  <c r="AA35" i="41"/>
  <c r="AA34" i="41"/>
  <c r="AA33" i="41"/>
  <c r="AA32" i="41"/>
  <c r="AA31" i="41"/>
  <c r="AA30" i="41"/>
  <c r="AA29" i="41"/>
  <c r="AA28" i="41"/>
  <c r="AA27" i="41"/>
  <c r="AA26" i="41"/>
  <c r="AA25" i="41"/>
  <c r="AA24" i="41"/>
  <c r="AA23" i="41"/>
  <c r="AA22" i="41"/>
  <c r="AA21" i="41"/>
  <c r="AA20" i="41"/>
  <c r="AA19" i="41"/>
  <c r="AA18" i="41"/>
  <c r="AA17" i="41"/>
  <c r="AA16" i="41"/>
  <c r="AA15" i="41"/>
  <c r="AA14" i="41"/>
  <c r="AA13" i="41"/>
  <c r="AA12" i="41"/>
  <c r="AA11" i="41"/>
  <c r="AA10" i="41"/>
  <c r="AA9" i="41"/>
  <c r="AA7" i="41"/>
  <c r="F7" i="93"/>
  <c r="F43" i="146"/>
  <c r="S43" i="41"/>
  <c r="F7" i="146"/>
  <c r="S7" i="41"/>
  <c r="G7" i="146"/>
  <c r="Y56" i="41"/>
  <c r="F8" i="143"/>
  <c r="Q8" i="41"/>
  <c r="G8" i="143"/>
  <c r="R8" i="41"/>
  <c r="F8" i="146"/>
  <c r="S8" i="41"/>
  <c r="G8" i="146"/>
  <c r="T8" i="41"/>
  <c r="F9" i="143"/>
  <c r="Q9" i="41"/>
  <c r="G9" i="143"/>
  <c r="R9" i="41"/>
  <c r="F9" i="146"/>
  <c r="S9" i="41"/>
  <c r="G9" i="146"/>
  <c r="T9" i="41"/>
  <c r="G10" i="143"/>
  <c r="R10" i="41"/>
  <c r="F10" i="146"/>
  <c r="S10" i="41"/>
  <c r="G10" i="146"/>
  <c r="T10" i="41"/>
  <c r="F11" i="143"/>
  <c r="Q11" i="41"/>
  <c r="G11" i="143"/>
  <c r="R11" i="41"/>
  <c r="G11" i="146"/>
  <c r="T11" i="41"/>
  <c r="F12" i="143"/>
  <c r="Q12" i="41"/>
  <c r="G12" i="143"/>
  <c r="R12" i="41"/>
  <c r="F12" i="146"/>
  <c r="S12" i="41"/>
  <c r="G12" i="146"/>
  <c r="T12" i="41"/>
  <c r="F13" i="143"/>
  <c r="Q13" i="41"/>
  <c r="G13" i="143"/>
  <c r="R13" i="41"/>
  <c r="F13" i="146"/>
  <c r="S13" i="41"/>
  <c r="G13" i="146"/>
  <c r="T13" i="41"/>
  <c r="G14" i="143"/>
  <c r="R14" i="41"/>
  <c r="F14" i="146"/>
  <c r="S14" i="41"/>
  <c r="G14" i="146"/>
  <c r="T14" i="41"/>
  <c r="F15" i="143"/>
  <c r="Q15" i="41"/>
  <c r="G15" i="143"/>
  <c r="R15" i="41"/>
  <c r="F15" i="146"/>
  <c r="S15" i="41"/>
  <c r="G15" i="146"/>
  <c r="T15" i="41"/>
  <c r="F16" i="143"/>
  <c r="Q16" i="41"/>
  <c r="G16" i="143"/>
  <c r="R16" i="41"/>
  <c r="F16" i="146"/>
  <c r="S16" i="41"/>
  <c r="G16" i="146"/>
  <c r="T16" i="41"/>
  <c r="F17" i="143"/>
  <c r="Q17" i="41"/>
  <c r="G17" i="143"/>
  <c r="R17" i="41"/>
  <c r="F17" i="146"/>
  <c r="S17" i="41"/>
  <c r="G17" i="146"/>
  <c r="T17" i="41"/>
  <c r="F18" i="143"/>
  <c r="Q18" i="41"/>
  <c r="G18" i="143"/>
  <c r="R18" i="41"/>
  <c r="F18" i="146"/>
  <c r="S18" i="41"/>
  <c r="G18" i="146"/>
  <c r="T18" i="41"/>
  <c r="F19" i="143"/>
  <c r="Q19" i="41"/>
  <c r="G19" i="143"/>
  <c r="R19" i="41"/>
  <c r="F19" i="146"/>
  <c r="S19" i="41"/>
  <c r="G19" i="146"/>
  <c r="T19" i="41"/>
  <c r="F20" i="143"/>
  <c r="Q20" i="41"/>
  <c r="G20" i="143"/>
  <c r="R20" i="41"/>
  <c r="F20" i="146"/>
  <c r="S20" i="41"/>
  <c r="F21" i="143"/>
  <c r="Q21" i="41"/>
  <c r="G21" i="143"/>
  <c r="R21" i="41"/>
  <c r="F21" i="146"/>
  <c r="S21" i="41"/>
  <c r="G21" i="146"/>
  <c r="T21" i="41"/>
  <c r="F22" i="143"/>
  <c r="Q22" i="41"/>
  <c r="G22" i="143"/>
  <c r="R22" i="41"/>
  <c r="F22" i="146"/>
  <c r="S22" i="41"/>
  <c r="G22" i="146"/>
  <c r="T22" i="41"/>
  <c r="F23" i="143"/>
  <c r="Q23" i="41"/>
  <c r="G23" i="143"/>
  <c r="R23" i="41"/>
  <c r="F23" i="146"/>
  <c r="S23" i="41"/>
  <c r="G23" i="146"/>
  <c r="T23" i="41"/>
  <c r="F24" i="143"/>
  <c r="Q24" i="41"/>
  <c r="G24" i="143"/>
  <c r="R24" i="41"/>
  <c r="F24" i="146"/>
  <c r="S24" i="41"/>
  <c r="G24" i="146"/>
  <c r="T24" i="41"/>
  <c r="F25" i="143"/>
  <c r="Q25" i="41"/>
  <c r="G25" i="143"/>
  <c r="R25" i="41"/>
  <c r="F25" i="146"/>
  <c r="S25" i="41"/>
  <c r="G25" i="146"/>
  <c r="T25" i="41"/>
  <c r="F26" i="143"/>
  <c r="Q26" i="41"/>
  <c r="G26" i="143"/>
  <c r="R26" i="41"/>
  <c r="F26" i="146"/>
  <c r="S26" i="41"/>
  <c r="G26" i="146"/>
  <c r="T26" i="41"/>
  <c r="F27" i="143"/>
  <c r="Q27" i="41"/>
  <c r="G27" i="143"/>
  <c r="R27" i="41"/>
  <c r="G27" i="146"/>
  <c r="T27" i="41"/>
  <c r="F28" i="143"/>
  <c r="Q28" i="41"/>
  <c r="G28" i="143"/>
  <c r="R28" i="41"/>
  <c r="F28" i="146"/>
  <c r="S28" i="41"/>
  <c r="G28" i="146"/>
  <c r="T28" i="41"/>
  <c r="F29" i="143"/>
  <c r="Q29" i="41"/>
  <c r="G29" i="143"/>
  <c r="R29" i="41"/>
  <c r="F29" i="146"/>
  <c r="S29" i="41"/>
  <c r="G29" i="146"/>
  <c r="T29" i="41"/>
  <c r="G30" i="143"/>
  <c r="R30" i="41"/>
  <c r="F30" i="146"/>
  <c r="S30" i="41"/>
  <c r="G30" i="146"/>
  <c r="T30" i="41"/>
  <c r="F31" i="143"/>
  <c r="Q31" i="41"/>
  <c r="G31" i="143"/>
  <c r="R31" i="41"/>
  <c r="F31" i="146"/>
  <c r="S31" i="41"/>
  <c r="G31" i="146"/>
  <c r="T31" i="41"/>
  <c r="F32" i="143"/>
  <c r="Q32" i="41"/>
  <c r="G32" i="143"/>
  <c r="R32" i="41"/>
  <c r="G32" i="146"/>
  <c r="T32" i="41"/>
  <c r="F33" i="143"/>
  <c r="Q33" i="41"/>
  <c r="G33" i="143"/>
  <c r="R33" i="41"/>
  <c r="F33" i="146"/>
  <c r="S33" i="41"/>
  <c r="G33" i="146"/>
  <c r="T33" i="41"/>
  <c r="F34" i="143"/>
  <c r="Q34" i="41"/>
  <c r="G34" i="143"/>
  <c r="R34" i="41"/>
  <c r="F34" i="146"/>
  <c r="S34" i="41"/>
  <c r="G34" i="146"/>
  <c r="T34" i="41"/>
  <c r="F35" i="143"/>
  <c r="Q35" i="41"/>
  <c r="G35" i="143"/>
  <c r="R35" i="41"/>
  <c r="F35" i="146"/>
  <c r="S35" i="41"/>
  <c r="G35" i="146"/>
  <c r="T35" i="41"/>
  <c r="F36" i="143"/>
  <c r="Q36" i="41"/>
  <c r="G36" i="143"/>
  <c r="R36" i="41"/>
  <c r="F36" i="146"/>
  <c r="S36" i="41"/>
  <c r="G36" i="146"/>
  <c r="T36" i="41"/>
  <c r="F37" i="143"/>
  <c r="Q37" i="41"/>
  <c r="F37" i="146"/>
  <c r="S37" i="41"/>
  <c r="G37" i="146"/>
  <c r="T37" i="41"/>
  <c r="F38" i="143"/>
  <c r="Q38" i="41"/>
  <c r="F38" i="146"/>
  <c r="S38" i="41"/>
  <c r="G38" i="146"/>
  <c r="T38" i="41"/>
  <c r="F39" i="143"/>
  <c r="Q39" i="41"/>
  <c r="G39" i="143"/>
  <c r="R39" i="41"/>
  <c r="F39" i="146"/>
  <c r="S39" i="41"/>
  <c r="G39" i="146"/>
  <c r="T39" i="41"/>
  <c r="F40" i="143"/>
  <c r="Q40" i="41"/>
  <c r="G40" i="143"/>
  <c r="R40" i="41"/>
  <c r="F40" i="146"/>
  <c r="S40" i="41"/>
  <c r="G40" i="146"/>
  <c r="T40" i="41"/>
  <c r="F41" i="143"/>
  <c r="Q41" i="41"/>
  <c r="G41" i="143"/>
  <c r="R41" i="41"/>
  <c r="F41" i="146"/>
  <c r="S41" i="41"/>
  <c r="G41" i="146"/>
  <c r="T41" i="41"/>
  <c r="F42" i="143"/>
  <c r="Q42" i="41"/>
  <c r="G42" i="143"/>
  <c r="R42" i="41"/>
  <c r="F42" i="146"/>
  <c r="S42" i="41"/>
  <c r="G42" i="146"/>
  <c r="T42" i="41"/>
  <c r="F43" i="143"/>
  <c r="Q43" i="41"/>
  <c r="G43" i="143"/>
  <c r="R43" i="41"/>
  <c r="G43" i="146"/>
  <c r="T43" i="41"/>
  <c r="F44" i="143"/>
  <c r="Q44" i="41"/>
  <c r="G44" i="143"/>
  <c r="R44" i="41"/>
  <c r="F44" i="146"/>
  <c r="S44" i="41"/>
  <c r="G44" i="146"/>
  <c r="T44" i="41"/>
  <c r="F45" i="143"/>
  <c r="Q45" i="41"/>
  <c r="G45" i="143"/>
  <c r="R45" i="41"/>
  <c r="F45" i="146"/>
  <c r="S45" i="41"/>
  <c r="G45" i="146"/>
  <c r="T45" i="41"/>
  <c r="G46" i="143"/>
  <c r="R46" i="41"/>
  <c r="F46" i="146"/>
  <c r="S46" i="41"/>
  <c r="G46" i="146"/>
  <c r="T46" i="41"/>
  <c r="F47" i="143"/>
  <c r="Q47" i="41"/>
  <c r="G47" i="143"/>
  <c r="R47" i="41"/>
  <c r="F47" i="146"/>
  <c r="S47" i="41"/>
  <c r="G47" i="146"/>
  <c r="T47" i="41"/>
  <c r="F48" i="143"/>
  <c r="Q48" i="41"/>
  <c r="G48" i="143"/>
  <c r="R48" i="41"/>
  <c r="F48" i="146"/>
  <c r="S48" i="41"/>
  <c r="G48" i="146"/>
  <c r="T48" i="41"/>
  <c r="F49" i="143"/>
  <c r="Q49" i="41"/>
  <c r="G49" i="143"/>
  <c r="R49" i="41"/>
  <c r="F49" i="146"/>
  <c r="S49" i="41"/>
  <c r="G49" i="146"/>
  <c r="T49" i="41"/>
  <c r="F50" i="143"/>
  <c r="Q50" i="41"/>
  <c r="G50" i="143"/>
  <c r="R50" i="41"/>
  <c r="F50" i="146"/>
  <c r="S50" i="41"/>
  <c r="G50" i="146"/>
  <c r="T50" i="41"/>
  <c r="F51" i="143"/>
  <c r="Q51" i="41"/>
  <c r="G51" i="143"/>
  <c r="R51" i="41"/>
  <c r="F51" i="146"/>
  <c r="S51" i="41"/>
  <c r="G51" i="146"/>
  <c r="T51" i="41"/>
  <c r="F52" i="143"/>
  <c r="Q52" i="41"/>
  <c r="G52" i="143"/>
  <c r="R52" i="41"/>
  <c r="F53" i="143"/>
  <c r="Q53" i="41"/>
  <c r="G53" i="143"/>
  <c r="R53" i="41"/>
  <c r="F53" i="146"/>
  <c r="S53" i="41"/>
  <c r="G53" i="146"/>
  <c r="T53" i="41"/>
  <c r="F54" i="143"/>
  <c r="Q54" i="41"/>
  <c r="G54" i="143"/>
  <c r="R54" i="41"/>
  <c r="F54" i="146"/>
  <c r="S54" i="41"/>
  <c r="G54" i="146"/>
  <c r="T54" i="41"/>
  <c r="F55" i="143"/>
  <c r="Q55" i="41"/>
  <c r="G55" i="143"/>
  <c r="R55" i="41"/>
  <c r="F55" i="146"/>
  <c r="S55" i="41"/>
  <c r="G55" i="146"/>
  <c r="T55" i="41"/>
  <c r="F56" i="143"/>
  <c r="Q56" i="41"/>
  <c r="G56" i="143"/>
  <c r="R56" i="41"/>
  <c r="F56" i="146"/>
  <c r="S56" i="41"/>
  <c r="G56" i="146"/>
  <c r="T56" i="41"/>
  <c r="F57" i="143"/>
  <c r="Q57" i="41"/>
  <c r="G57" i="143"/>
  <c r="R57" i="41"/>
  <c r="F57" i="146"/>
  <c r="S57" i="41"/>
  <c r="G57" i="146"/>
  <c r="T57" i="41"/>
  <c r="F58" i="143"/>
  <c r="Q58" i="41"/>
  <c r="G58" i="143"/>
  <c r="R58" i="41"/>
  <c r="F58" i="146"/>
  <c r="S58" i="41"/>
  <c r="G58" i="146"/>
  <c r="T58" i="41"/>
  <c r="F59" i="143"/>
  <c r="Q59" i="41"/>
  <c r="G59" i="143"/>
  <c r="R59" i="41"/>
  <c r="F59" i="146"/>
  <c r="S59" i="41"/>
  <c r="G59" i="146"/>
  <c r="T59" i="41"/>
  <c r="F60" i="143"/>
  <c r="Q60" i="41"/>
  <c r="G60" i="143"/>
  <c r="R60" i="41"/>
  <c r="F60" i="146"/>
  <c r="S60" i="41"/>
  <c r="G60" i="146"/>
  <c r="T60" i="41"/>
  <c r="F61" i="143"/>
  <c r="Q61" i="41"/>
  <c r="G61" i="143"/>
  <c r="R61" i="41"/>
  <c r="F61" i="146"/>
  <c r="S61" i="41"/>
  <c r="G61" i="146"/>
  <c r="T61" i="41"/>
  <c r="F62" i="143"/>
  <c r="Q62" i="41"/>
  <c r="G62" i="143"/>
  <c r="R62" i="41"/>
  <c r="F62" i="146"/>
  <c r="S62" i="41"/>
  <c r="G62" i="146"/>
  <c r="T62" i="41"/>
  <c r="F63" i="143"/>
  <c r="Q63" i="41"/>
  <c r="G63" i="143"/>
  <c r="R63" i="41"/>
  <c r="F63" i="146"/>
  <c r="S63" i="41"/>
  <c r="G63" i="146"/>
  <c r="T63" i="41"/>
  <c r="F64" i="143"/>
  <c r="Q64" i="41"/>
  <c r="G64" i="143"/>
  <c r="R64" i="41"/>
  <c r="F64" i="146"/>
  <c r="S64" i="41"/>
  <c r="G64" i="146"/>
  <c r="T64" i="41"/>
  <c r="H7" i="93"/>
  <c r="I7" i="93"/>
  <c r="F8" i="93"/>
  <c r="H8" i="93"/>
  <c r="I8" i="93"/>
  <c r="K8" i="93"/>
  <c r="F9" i="93"/>
  <c r="H9" i="93"/>
  <c r="I9" i="93"/>
  <c r="F10" i="93"/>
  <c r="H10" i="93"/>
  <c r="I10" i="93"/>
  <c r="F11" i="93"/>
  <c r="H11" i="93"/>
  <c r="I11" i="93"/>
  <c r="M11" i="93"/>
  <c r="F12" i="93"/>
  <c r="H12" i="93"/>
  <c r="I12" i="93"/>
  <c r="F13" i="93"/>
  <c r="H13" i="93"/>
  <c r="I13" i="93"/>
  <c r="F14" i="93"/>
  <c r="H14" i="93"/>
  <c r="I14" i="93"/>
  <c r="J14" i="93"/>
  <c r="N14" i="93"/>
  <c r="F15" i="93"/>
  <c r="H15" i="93"/>
  <c r="I15" i="93"/>
  <c r="F16" i="93"/>
  <c r="H16" i="93"/>
  <c r="I16" i="93"/>
  <c r="K16" i="93"/>
  <c r="F17" i="93"/>
  <c r="H17" i="93"/>
  <c r="I17" i="93"/>
  <c r="F18" i="93"/>
  <c r="H18" i="93"/>
  <c r="I18" i="93"/>
  <c r="J18" i="93"/>
  <c r="N18" i="93"/>
  <c r="F19" i="93"/>
  <c r="H19" i="93"/>
  <c r="I19" i="93"/>
  <c r="J19" i="93"/>
  <c r="N19" i="93"/>
  <c r="F20" i="93"/>
  <c r="H20" i="93"/>
  <c r="I20" i="93"/>
  <c r="F21" i="93"/>
  <c r="H21" i="93"/>
  <c r="I21" i="93"/>
  <c r="F22" i="93"/>
  <c r="H22" i="93"/>
  <c r="I22" i="93"/>
  <c r="K22" i="93"/>
  <c r="F23" i="93"/>
  <c r="H23" i="93"/>
  <c r="I23" i="93"/>
  <c r="F24" i="93"/>
  <c r="H24" i="93"/>
  <c r="I24" i="93"/>
  <c r="F25" i="93"/>
  <c r="H25" i="93"/>
  <c r="I25" i="93"/>
  <c r="F26" i="93"/>
  <c r="H26" i="93"/>
  <c r="I26" i="93"/>
  <c r="F27" i="93"/>
  <c r="H27" i="93"/>
  <c r="I27" i="93"/>
  <c r="J27" i="93"/>
  <c r="N27" i="93"/>
  <c r="F28" i="93"/>
  <c r="H28" i="93"/>
  <c r="I28" i="93"/>
  <c r="F29" i="93"/>
  <c r="H29" i="93"/>
  <c r="I29" i="93"/>
  <c r="K29" i="93"/>
  <c r="F30" i="93"/>
  <c r="H30" i="93"/>
  <c r="I30" i="93"/>
  <c r="K30" i="93"/>
  <c r="F31" i="93"/>
  <c r="H31" i="93"/>
  <c r="I31" i="93"/>
  <c r="F32" i="93"/>
  <c r="H32" i="93"/>
  <c r="I32" i="93"/>
  <c r="F33" i="93"/>
  <c r="H33" i="93"/>
  <c r="I33" i="93"/>
  <c r="F34" i="93"/>
  <c r="H34" i="93"/>
  <c r="I34" i="93"/>
  <c r="K34" i="93"/>
  <c r="F35" i="93"/>
  <c r="H35" i="93"/>
  <c r="I35" i="93"/>
  <c r="F36" i="93"/>
  <c r="H36" i="93"/>
  <c r="I36" i="93"/>
  <c r="F37" i="93"/>
  <c r="H37" i="93"/>
  <c r="I37" i="93"/>
  <c r="F38" i="93"/>
  <c r="H38" i="93"/>
  <c r="I38" i="93"/>
  <c r="J38" i="93"/>
  <c r="N38" i="93"/>
  <c r="F39" i="93"/>
  <c r="H39" i="93"/>
  <c r="I39" i="93"/>
  <c r="K39" i="93"/>
  <c r="F40" i="93"/>
  <c r="H40" i="93"/>
  <c r="I40" i="93"/>
  <c r="F41" i="93"/>
  <c r="H41" i="93"/>
  <c r="I41" i="93"/>
  <c r="F42" i="93"/>
  <c r="H42" i="93"/>
  <c r="I42" i="93"/>
  <c r="J42" i="93"/>
  <c r="K42" i="93"/>
  <c r="F43" i="93"/>
  <c r="H43" i="93"/>
  <c r="I43" i="93"/>
  <c r="M43" i="93"/>
  <c r="F44" i="93"/>
  <c r="H44" i="93"/>
  <c r="I44" i="93"/>
  <c r="F45" i="93"/>
  <c r="H45" i="93"/>
  <c r="I45" i="93"/>
  <c r="K45" i="93"/>
  <c r="F46" i="93"/>
  <c r="H46" i="93"/>
  <c r="I46" i="93"/>
  <c r="J46" i="93"/>
  <c r="N46" i="93"/>
  <c r="F47" i="93"/>
  <c r="H47" i="93"/>
  <c r="I47" i="93"/>
  <c r="F48" i="93"/>
  <c r="H48" i="93"/>
  <c r="I48" i="93"/>
  <c r="K48" i="93"/>
  <c r="F49" i="93"/>
  <c r="H49" i="93"/>
  <c r="I49" i="93"/>
  <c r="J49" i="93"/>
  <c r="F50" i="93"/>
  <c r="H50" i="93"/>
  <c r="I50" i="93"/>
  <c r="K50" i="93"/>
  <c r="F51" i="93"/>
  <c r="H51" i="93"/>
  <c r="I51" i="93"/>
  <c r="J51" i="93"/>
  <c r="F52" i="93"/>
  <c r="H52" i="93"/>
  <c r="I52" i="93"/>
  <c r="F53" i="93"/>
  <c r="H53" i="93"/>
  <c r="I53" i="93"/>
  <c r="F54" i="93"/>
  <c r="H54" i="93"/>
  <c r="I54" i="93"/>
  <c r="F55" i="93"/>
  <c r="H55" i="93"/>
  <c r="I55" i="93"/>
  <c r="F56" i="93"/>
  <c r="H56" i="93"/>
  <c r="I56" i="93"/>
  <c r="M56" i="93"/>
  <c r="P56" i="93"/>
  <c r="Q56" i="93"/>
  <c r="F57" i="93"/>
  <c r="H57" i="93"/>
  <c r="I57" i="93"/>
  <c r="F58" i="93"/>
  <c r="H58" i="93"/>
  <c r="I58" i="93"/>
  <c r="F59" i="93"/>
  <c r="H59" i="93"/>
  <c r="I59" i="93"/>
  <c r="F60" i="93"/>
  <c r="H60" i="93"/>
  <c r="I60" i="93"/>
  <c r="F61" i="93"/>
  <c r="H61" i="93"/>
  <c r="I61" i="93"/>
  <c r="F62" i="93"/>
  <c r="H62" i="93"/>
  <c r="I62" i="93"/>
  <c r="F63" i="93"/>
  <c r="H63" i="93"/>
  <c r="I63" i="93"/>
  <c r="J63" i="93"/>
  <c r="N63" i="93"/>
  <c r="O63" i="93"/>
  <c r="F64" i="93"/>
  <c r="H64" i="93"/>
  <c r="I64" i="93"/>
  <c r="K64" i="93"/>
  <c r="F65" i="93"/>
  <c r="C65" i="83"/>
  <c r="S65" i="83"/>
  <c r="F59" i="141"/>
  <c r="F28" i="141"/>
  <c r="F44" i="141"/>
  <c r="F17" i="141"/>
  <c r="F33" i="141"/>
  <c r="F49" i="141"/>
  <c r="F6" i="141"/>
  <c r="F22" i="141"/>
  <c r="F38" i="141"/>
  <c r="F54" i="141"/>
  <c r="F15" i="141"/>
  <c r="F31" i="141"/>
  <c r="F47" i="141"/>
  <c r="F12" i="141"/>
  <c r="F60" i="141"/>
  <c r="F16" i="141"/>
  <c r="F5" i="141"/>
  <c r="F37" i="141"/>
  <c r="F53" i="141"/>
  <c r="F10" i="141"/>
  <c r="F26" i="141"/>
  <c r="F42" i="141"/>
  <c r="F58" i="141"/>
  <c r="F19" i="141"/>
  <c r="F35" i="141"/>
  <c r="F51" i="141"/>
  <c r="F32" i="141"/>
  <c r="F48" i="141"/>
  <c r="F21" i="141"/>
  <c r="F4" i="141"/>
  <c r="F20" i="141"/>
  <c r="F36" i="141"/>
  <c r="F52" i="141"/>
  <c r="F9" i="141"/>
  <c r="F25" i="141"/>
  <c r="F41" i="141"/>
  <c r="F57" i="141"/>
  <c r="F14" i="141"/>
  <c r="F30" i="141"/>
  <c r="F46" i="141"/>
  <c r="F7" i="141"/>
  <c r="F23" i="141"/>
  <c r="F39" i="141"/>
  <c r="F55" i="141"/>
  <c r="F8" i="141"/>
  <c r="F24" i="141"/>
  <c r="F40" i="141"/>
  <c r="F56" i="141"/>
  <c r="F13" i="141"/>
  <c r="F29" i="141"/>
  <c r="F45" i="141"/>
  <c r="F3" i="141"/>
  <c r="F18" i="141"/>
  <c r="F34" i="141"/>
  <c r="F50" i="141"/>
  <c r="F11" i="141"/>
  <c r="F27" i="141"/>
  <c r="F43" i="141"/>
  <c r="J65" i="83"/>
  <c r="H65" i="83"/>
  <c r="O65" i="83"/>
  <c r="G65" i="83"/>
  <c r="F65" i="83"/>
  <c r="E65" i="83"/>
  <c r="D65" i="83"/>
  <c r="I65" i="83"/>
  <c r="Q65" i="83"/>
  <c r="J43" i="93"/>
  <c r="N43" i="93"/>
  <c r="N51" i="93"/>
  <c r="K44" i="93"/>
  <c r="N42" i="93"/>
  <c r="O42" i="93"/>
  <c r="P43" i="93"/>
  <c r="Q43" i="93"/>
  <c r="J48" i="93"/>
  <c r="N48" i="93"/>
  <c r="K19" i="93"/>
  <c r="O19" i="93"/>
  <c r="J16" i="93"/>
  <c r="N16" i="93"/>
  <c r="O16" i="93"/>
  <c r="J34" i="93"/>
  <c r="N34" i="93"/>
  <c r="O34" i="93"/>
  <c r="K47" i="93"/>
  <c r="K27" i="93"/>
  <c r="K46" i="93"/>
  <c r="O46" i="93"/>
  <c r="K18" i="93"/>
  <c r="J22" i="93"/>
  <c r="N22" i="93"/>
  <c r="K26" i="93"/>
  <c r="O26" i="93"/>
  <c r="J26" i="93"/>
  <c r="N26" i="93"/>
  <c r="K63" i="93"/>
  <c r="J35" i="93"/>
  <c r="N35" i="93"/>
  <c r="J60" i="93"/>
  <c r="N60" i="93"/>
  <c r="K15" i="93"/>
  <c r="M19" i="93"/>
  <c r="P19" i="93"/>
  <c r="Q19" i="93"/>
  <c r="M63" i="93"/>
  <c r="P63" i="93"/>
  <c r="Q63" i="93"/>
  <c r="M30" i="93"/>
  <c r="P30" i="93"/>
  <c r="Q30" i="93"/>
  <c r="M57" i="93"/>
  <c r="P57" i="93"/>
  <c r="Q57" i="93"/>
  <c r="H53" i="141"/>
  <c r="M53" i="141"/>
  <c r="N53" i="141" s="1"/>
  <c r="O18" i="93"/>
  <c r="M18" i="93"/>
  <c r="P18" i="93"/>
  <c r="Q18" i="93"/>
  <c r="M58" i="93"/>
  <c r="P58" i="93"/>
  <c r="Q58" i="93"/>
  <c r="M46" i="93"/>
  <c r="P46" i="93"/>
  <c r="Q46" i="93"/>
  <c r="M26" i="93"/>
  <c r="P26" i="93"/>
  <c r="Q26" i="93"/>
  <c r="M10" i="93"/>
  <c r="P10" i="93"/>
  <c r="Q10" i="93"/>
  <c r="M27" i="93"/>
  <c r="P27" i="93"/>
  <c r="Q27" i="93"/>
  <c r="M34" i="93"/>
  <c r="P34" i="93"/>
  <c r="Q34" i="93"/>
  <c r="M16" i="93"/>
  <c r="P16" i="93"/>
  <c r="Q16" i="93"/>
  <c r="J28" i="93"/>
  <c r="N28" i="93"/>
  <c r="O28" i="93"/>
  <c r="K28" i="93"/>
  <c r="J20" i="93"/>
  <c r="N20" i="93"/>
  <c r="K20" i="93"/>
  <c r="J59" i="93"/>
  <c r="N59" i="93"/>
  <c r="K59" i="93"/>
  <c r="O59" i="93"/>
  <c r="J24" i="93"/>
  <c r="N24" i="93"/>
  <c r="K24" i="93"/>
  <c r="O24" i="93"/>
  <c r="J31" i="93"/>
  <c r="N31" i="93"/>
  <c r="K31" i="93"/>
  <c r="K23" i="93"/>
  <c r="J23" i="93"/>
  <c r="N23" i="93"/>
  <c r="O23" i="93"/>
  <c r="J12" i="93"/>
  <c r="N12" i="93"/>
  <c r="K12" i="93"/>
  <c r="K52" i="93"/>
  <c r="O52" i="93"/>
  <c r="J52" i="93"/>
  <c r="N52" i="93"/>
  <c r="K32" i="93"/>
  <c r="J32" i="93"/>
  <c r="N32" i="93"/>
  <c r="P11" i="93"/>
  <c r="Q11" i="93"/>
  <c r="M28" i="93"/>
  <c r="P28" i="93"/>
  <c r="Q28" i="93"/>
  <c r="H24" i="141"/>
  <c r="M24" i="141"/>
  <c r="N24" i="141"/>
  <c r="M31" i="93"/>
  <c r="P31" i="93"/>
  <c r="Q31" i="93"/>
  <c r="M59" i="93"/>
  <c r="P59" i="93"/>
  <c r="Q59" i="93"/>
  <c r="M32" i="93"/>
  <c r="P32" i="93"/>
  <c r="Q32" i="93"/>
  <c r="J28" i="141"/>
  <c r="M12" i="93"/>
  <c r="P12" i="93"/>
  <c r="Q12" i="93"/>
  <c r="M52" i="93"/>
  <c r="P52" i="93"/>
  <c r="T52" i="93"/>
  <c r="M23" i="93"/>
  <c r="P23" i="93"/>
  <c r="Q23" i="93"/>
  <c r="H19" i="141"/>
  <c r="M19" i="141"/>
  <c r="N19" i="141"/>
  <c r="M24" i="93"/>
  <c r="P24" i="93"/>
  <c r="Q24" i="93"/>
  <c r="M20" i="93"/>
  <c r="P20" i="93"/>
  <c r="Q20" i="93"/>
  <c r="J8" i="93"/>
  <c r="N8" i="93"/>
  <c r="O8" i="93"/>
  <c r="M8" i="93"/>
  <c r="P8" i="93"/>
  <c r="J55" i="141"/>
  <c r="H29" i="141"/>
  <c r="M29" i="141"/>
  <c r="N29" i="141"/>
  <c r="H54" i="141"/>
  <c r="H50" i="141"/>
  <c r="M50" i="141"/>
  <c r="H40" i="141"/>
  <c r="M40" i="141"/>
  <c r="N40" i="141" s="1"/>
  <c r="H32" i="141"/>
  <c r="H8" i="141"/>
  <c r="H17" i="141"/>
  <c r="M17" i="141"/>
  <c r="N17" i="141"/>
  <c r="J43" i="141"/>
  <c r="H26" i="141"/>
  <c r="M9" i="93"/>
  <c r="P9" i="93"/>
  <c r="Q9" i="93"/>
  <c r="R9" i="93"/>
  <c r="J5" i="141"/>
  <c r="K9" i="93"/>
  <c r="J9" i="93"/>
  <c r="N9" i="93"/>
  <c r="O31" i="93"/>
  <c r="N49" i="93"/>
  <c r="M49" i="93"/>
  <c r="P49" i="93"/>
  <c r="Q49" i="93"/>
  <c r="R49" i="93"/>
  <c r="J45" i="141"/>
  <c r="J37" i="93"/>
  <c r="N37" i="93"/>
  <c r="K37" i="93"/>
  <c r="M37" i="93"/>
  <c r="P37" i="93"/>
  <c r="Q37" i="93"/>
  <c r="J21" i="93"/>
  <c r="N21" i="93"/>
  <c r="K21" i="93"/>
  <c r="M21" i="93"/>
  <c r="P21" i="93"/>
  <c r="Q21" i="93"/>
  <c r="J41" i="93"/>
  <c r="N41" i="93"/>
  <c r="K41" i="93"/>
  <c r="O41" i="93"/>
  <c r="M41" i="93"/>
  <c r="P41" i="93"/>
  <c r="Q41" i="93"/>
  <c r="R41" i="93"/>
  <c r="J61" i="93"/>
  <c r="N61" i="93"/>
  <c r="O61" i="93"/>
  <c r="M61" i="93"/>
  <c r="P61" i="93"/>
  <c r="Q61" i="93"/>
  <c r="H57" i="141"/>
  <c r="M57" i="141"/>
  <c r="N57" i="141"/>
  <c r="K61" i="93"/>
  <c r="O48" i="93"/>
  <c r="J33" i="93"/>
  <c r="N33" i="93"/>
  <c r="K33" i="93"/>
  <c r="M33" i="93"/>
  <c r="P33" i="93"/>
  <c r="Q33" i="93"/>
  <c r="M17" i="93"/>
  <c r="P17" i="93"/>
  <c r="Q17" i="93"/>
  <c r="H13" i="141"/>
  <c r="M13" i="141"/>
  <c r="N13" i="141"/>
  <c r="K17" i="93"/>
  <c r="O17" i="93"/>
  <c r="J17" i="93"/>
  <c r="N17" i="93"/>
  <c r="J25" i="93"/>
  <c r="N25" i="93"/>
  <c r="M25" i="93"/>
  <c r="P25" i="93"/>
  <c r="Q25" i="93"/>
  <c r="K25" i="93"/>
  <c r="M53" i="93"/>
  <c r="P53" i="93"/>
  <c r="Q53" i="93"/>
  <c r="K53" i="93"/>
  <c r="J53" i="93"/>
  <c r="N53" i="93"/>
  <c r="J45" i="93"/>
  <c r="N45" i="93"/>
  <c r="O45" i="93"/>
  <c r="M45" i="93"/>
  <c r="P45" i="93"/>
  <c r="Q45" i="93"/>
  <c r="R45" i="93"/>
  <c r="J29" i="93"/>
  <c r="N29" i="93"/>
  <c r="M29" i="93"/>
  <c r="P29" i="93"/>
  <c r="Q29" i="93"/>
  <c r="H25" i="141"/>
  <c r="M25" i="141"/>
  <c r="N25" i="141" s="1"/>
  <c r="M13" i="93"/>
  <c r="P13" i="93"/>
  <c r="Q13" i="93"/>
  <c r="R13" i="93"/>
  <c r="H9" i="141"/>
  <c r="M9" i="141"/>
  <c r="N9" i="141"/>
  <c r="J13" i="93"/>
  <c r="N13" i="93"/>
  <c r="K13" i="93"/>
  <c r="K38" i="93"/>
  <c r="O38" i="93"/>
  <c r="K14" i="93"/>
  <c r="O14" i="93"/>
  <c r="M50" i="93"/>
  <c r="P50" i="93"/>
  <c r="Q50" i="93"/>
  <c r="H46" i="141"/>
  <c r="M46" i="141"/>
  <c r="N46" i="141" s="1"/>
  <c r="M64" i="93"/>
  <c r="P64" i="93"/>
  <c r="Q64" i="93"/>
  <c r="J64" i="93"/>
  <c r="N64" i="93"/>
  <c r="O64" i="93"/>
  <c r="J30" i="93"/>
  <c r="N30" i="93"/>
  <c r="O30" i="93"/>
  <c r="M42" i="93"/>
  <c r="P42" i="93"/>
  <c r="Q42" i="93"/>
  <c r="H38" i="141"/>
  <c r="M38" i="141"/>
  <c r="N38" i="141"/>
  <c r="K36" i="93"/>
  <c r="K54" i="93"/>
  <c r="M54" i="93"/>
  <c r="P54" i="93"/>
  <c r="Q54" i="93"/>
  <c r="J54" i="93"/>
  <c r="N54" i="93"/>
  <c r="K40" i="93"/>
  <c r="M40" i="93"/>
  <c r="P40" i="93"/>
  <c r="Q40" i="93"/>
  <c r="J36" i="141"/>
  <c r="J40" i="93"/>
  <c r="N40" i="93"/>
  <c r="M35" i="93"/>
  <c r="P35" i="93"/>
  <c r="Q35" i="93"/>
  <c r="H31" i="141"/>
  <c r="M31" i="141"/>
  <c r="N31" i="141"/>
  <c r="K35" i="93"/>
  <c r="O35" i="93"/>
  <c r="O27" i="93"/>
  <c r="M55" i="93"/>
  <c r="P55" i="93"/>
  <c r="Q55" i="93"/>
  <c r="K55" i="93"/>
  <c r="M38" i="93"/>
  <c r="P38" i="93"/>
  <c r="Q38" i="93"/>
  <c r="H34" i="141"/>
  <c r="M34" i="141"/>
  <c r="N34" i="141" s="1"/>
  <c r="M48" i="93"/>
  <c r="P48" i="93"/>
  <c r="Q48" i="93"/>
  <c r="J50" i="93"/>
  <c r="N50" i="93"/>
  <c r="O50" i="93"/>
  <c r="K58" i="93"/>
  <c r="J58" i="93"/>
  <c r="N58" i="93"/>
  <c r="O58" i="93"/>
  <c r="K56" i="93"/>
  <c r="J56" i="93"/>
  <c r="N56" i="93"/>
  <c r="O56" i="93"/>
  <c r="M47" i="93"/>
  <c r="P47" i="93"/>
  <c r="Q47" i="93"/>
  <c r="H43" i="141"/>
  <c r="M43" i="141"/>
  <c r="N43" i="141" s="1"/>
  <c r="J47" i="93"/>
  <c r="N47" i="93"/>
  <c r="O47" i="93"/>
  <c r="K10" i="93"/>
  <c r="J10" i="93"/>
  <c r="N10" i="93"/>
  <c r="K57" i="93"/>
  <c r="O57" i="93"/>
  <c r="J57" i="93"/>
  <c r="N57" i="93"/>
  <c r="O32" i="93"/>
  <c r="M22" i="93"/>
  <c r="P22" i="93"/>
  <c r="Q22" i="93"/>
  <c r="H18" i="141"/>
  <c r="M18" i="141"/>
  <c r="N18" i="141"/>
  <c r="J55" i="93"/>
  <c r="N55" i="93"/>
  <c r="J62" i="93"/>
  <c r="N62" i="93"/>
  <c r="M62" i="93"/>
  <c r="P62" i="93"/>
  <c r="Q62" i="93"/>
  <c r="K62" i="93"/>
  <c r="K60" i="93"/>
  <c r="O60" i="93"/>
  <c r="M60" i="93"/>
  <c r="P60" i="93"/>
  <c r="Q60" i="93"/>
  <c r="M51" i="93"/>
  <c r="P51" i="93"/>
  <c r="Q51" i="93"/>
  <c r="H47" i="141"/>
  <c r="M47" i="141"/>
  <c r="N47" i="141" s="1"/>
  <c r="K51" i="93"/>
  <c r="O51" i="93"/>
  <c r="J44" i="93"/>
  <c r="N44" i="93"/>
  <c r="O44" i="93"/>
  <c r="M44" i="93"/>
  <c r="P44" i="93"/>
  <c r="Q44" i="93"/>
  <c r="M39" i="93"/>
  <c r="P39" i="93"/>
  <c r="Q39" i="93"/>
  <c r="J39" i="93"/>
  <c r="N39" i="93"/>
  <c r="O39" i="93"/>
  <c r="M15" i="93"/>
  <c r="P15" i="93"/>
  <c r="Q15" i="93"/>
  <c r="H11" i="141"/>
  <c r="M11" i="141"/>
  <c r="N11" i="141" s="1"/>
  <c r="J15" i="93"/>
  <c r="N15" i="93"/>
  <c r="O15" i="93"/>
  <c r="Q8" i="93"/>
  <c r="H4" i="141"/>
  <c r="M4" i="141"/>
  <c r="N4" i="141"/>
  <c r="S8" i="93"/>
  <c r="T8" i="93"/>
  <c r="Q52" i="93"/>
  <c r="H48" i="141"/>
  <c r="M48" i="141"/>
  <c r="N48" i="141"/>
  <c r="S52" i="93"/>
  <c r="M32" i="141"/>
  <c r="N32" i="141"/>
  <c r="M26" i="141"/>
  <c r="N26" i="141" s="1"/>
  <c r="J57" i="141"/>
  <c r="M8" i="141"/>
  <c r="N8" i="141"/>
  <c r="M54" i="141"/>
  <c r="N54" i="141"/>
  <c r="N50" i="141"/>
  <c r="J25" i="141"/>
  <c r="J11" i="141"/>
  <c r="J9" i="141"/>
  <c r="J40" i="141"/>
  <c r="J20" i="141"/>
  <c r="H20" i="141"/>
  <c r="M20" i="141"/>
  <c r="N20" i="141"/>
  <c r="J60" i="141"/>
  <c r="H60" i="141"/>
  <c r="M60" i="141"/>
  <c r="N60" i="141"/>
  <c r="H41" i="141"/>
  <c r="M41" i="141"/>
  <c r="N41" i="141"/>
  <c r="J41" i="141"/>
  <c r="J14" i="141"/>
  <c r="H14" i="141"/>
  <c r="M14" i="141"/>
  <c r="N14" i="141"/>
  <c r="J35" i="141"/>
  <c r="H35" i="141"/>
  <c r="M35" i="141"/>
  <c r="N35" i="141"/>
  <c r="J39" i="141"/>
  <c r="H39" i="141"/>
  <c r="M39" i="141"/>
  <c r="N39" i="141"/>
  <c r="J26" i="141"/>
  <c r="J34" i="141"/>
  <c r="J50" i="141"/>
  <c r="J8" i="141"/>
  <c r="J32" i="141"/>
  <c r="J30" i="141"/>
  <c r="J52" i="141"/>
  <c r="J23" i="141"/>
  <c r="J6" i="141"/>
  <c r="J7" i="141"/>
  <c r="J58" i="141"/>
  <c r="H58" i="141"/>
  <c r="M58" i="141"/>
  <c r="N58" i="141" s="1"/>
  <c r="J44" i="141"/>
  <c r="H44" i="141"/>
  <c r="M44" i="141"/>
  <c r="N44" i="141" s="1"/>
  <c r="H27" i="141"/>
  <c r="M27" i="141"/>
  <c r="N27" i="141"/>
  <c r="J27" i="141"/>
  <c r="H36" i="141"/>
  <c r="M36" i="141"/>
  <c r="N36" i="141"/>
  <c r="H30" i="141"/>
  <c r="M30" i="141"/>
  <c r="N30" i="141"/>
  <c r="H7" i="141"/>
  <c r="M7" i="141"/>
  <c r="N7" i="141"/>
  <c r="J46" i="141"/>
  <c r="H28" i="141"/>
  <c r="M28" i="141"/>
  <c r="N28" i="141"/>
  <c r="J24" i="141"/>
  <c r="H5" i="141"/>
  <c r="M5" i="141"/>
  <c r="N5" i="141"/>
  <c r="H55" i="141"/>
  <c r="M55" i="141"/>
  <c r="N55" i="141" s="1"/>
  <c r="J19" i="141"/>
  <c r="H23" i="141"/>
  <c r="M23" i="141"/>
  <c r="N23" i="141" s="1"/>
  <c r="J29" i="141"/>
  <c r="J47" i="141"/>
  <c r="J17" i="141"/>
  <c r="J10" i="141"/>
  <c r="J18" i="141"/>
  <c r="H22" i="141"/>
  <c r="M22" i="141"/>
  <c r="N22" i="141" s="1"/>
  <c r="J22" i="141"/>
  <c r="H49" i="141"/>
  <c r="M49" i="141"/>
  <c r="N49" i="141" s="1"/>
  <c r="J49" i="141"/>
  <c r="H59" i="141"/>
  <c r="M59" i="141"/>
  <c r="N59" i="141" s="1"/>
  <c r="J59" i="141"/>
  <c r="J31" i="141"/>
  <c r="J4" i="141"/>
  <c r="J42" i="141"/>
  <c r="H42" i="141"/>
  <c r="M42" i="141"/>
  <c r="N42" i="141"/>
  <c r="H52" i="141"/>
  <c r="M52" i="141"/>
  <c r="N52" i="141"/>
  <c r="J53" i="141"/>
  <c r="H10" i="141"/>
  <c r="M10" i="141"/>
  <c r="N10" i="141"/>
  <c r="J38" i="141"/>
  <c r="J13" i="141"/>
  <c r="H6" i="141"/>
  <c r="M6" i="141"/>
  <c r="N6" i="141"/>
  <c r="H51" i="141"/>
  <c r="M51" i="141"/>
  <c r="N51" i="141"/>
  <c r="H15" i="141"/>
  <c r="M15" i="141"/>
  <c r="N15" i="141"/>
  <c r="H21" i="141"/>
  <c r="M21" i="141"/>
  <c r="N21" i="141" s="1"/>
  <c r="H16" i="141"/>
  <c r="M16" i="141"/>
  <c r="N16" i="141"/>
  <c r="H56" i="141"/>
  <c r="M56" i="141"/>
  <c r="N56" i="141"/>
  <c r="M7" i="93"/>
  <c r="J7" i="93"/>
  <c r="N7" i="93"/>
  <c r="O7" i="93"/>
  <c r="K7" i="93"/>
  <c r="H45" i="141"/>
  <c r="M45" i="141"/>
  <c r="N45" i="141"/>
  <c r="H12" i="141"/>
  <c r="M12" i="141"/>
  <c r="N12" i="141"/>
  <c r="H33" i="141"/>
  <c r="M33" i="141"/>
  <c r="N33" i="141" s="1"/>
  <c r="H37" i="141"/>
  <c r="M37" i="141"/>
  <c r="N37" i="141"/>
  <c r="O29" i="93"/>
  <c r="O25" i="93"/>
  <c r="O33" i="93"/>
  <c r="O37" i="93"/>
  <c r="O62" i="93"/>
  <c r="O54" i="93"/>
  <c r="O53" i="93"/>
  <c r="O21" i="93"/>
  <c r="J54" i="141"/>
  <c r="J61" i="141"/>
  <c r="J33" i="141"/>
  <c r="J21" i="141"/>
  <c r="J56" i="141"/>
  <c r="J16" i="141"/>
  <c r="J37" i="141"/>
  <c r="M65" i="93"/>
  <c r="P7" i="93"/>
  <c r="J48" i="141"/>
  <c r="J51" i="141"/>
  <c r="J15" i="141"/>
  <c r="J12" i="141"/>
  <c r="Q7" i="93"/>
  <c r="P65" i="93"/>
  <c r="Q65" i="93"/>
  <c r="R39" i="93"/>
  <c r="R51" i="93"/>
  <c r="R22" i="93"/>
  <c r="R30" i="93"/>
  <c r="R37" i="93"/>
  <c r="R16" i="93"/>
  <c r="R33" i="93"/>
  <c r="R47" i="93"/>
  <c r="R20" i="93"/>
  <c r="R11" i="93"/>
  <c r="R24" i="93"/>
  <c r="R43" i="93"/>
  <c r="R42" i="93"/>
  <c r="R40" i="93"/>
  <c r="R48" i="93"/>
  <c r="R50" i="93"/>
  <c r="R35" i="93"/>
  <c r="R27" i="93"/>
  <c r="R34" i="93"/>
  <c r="R26" i="93"/>
  <c r="R38" i="93"/>
  <c r="R23" i="93"/>
  <c r="R12" i="93"/>
  <c r="R25" i="93"/>
  <c r="R55" i="93"/>
  <c r="R15" i="93"/>
  <c r="R29" i="93"/>
  <c r="R58" i="93"/>
  <c r="R59" i="93"/>
  <c r="R52" i="93"/>
  <c r="R8" i="93"/>
  <c r="R21" i="93"/>
  <c r="R62" i="93"/>
  <c r="R10" i="93"/>
  <c r="R54" i="93"/>
  <c r="R28" i="93"/>
  <c r="R61" i="93"/>
  <c r="R32" i="93"/>
  <c r="R56" i="93"/>
  <c r="R18" i="93"/>
  <c r="R64" i="93"/>
  <c r="R46" i="93"/>
  <c r="R31" i="93"/>
  <c r="R53" i="93"/>
  <c r="R44" i="93"/>
  <c r="R63" i="93"/>
  <c r="R19" i="93"/>
  <c r="R57" i="93"/>
  <c r="R17" i="93"/>
  <c r="R60" i="93"/>
  <c r="R7" i="93"/>
  <c r="S63" i="93"/>
  <c r="T63" i="93"/>
  <c r="T54" i="93"/>
  <c r="S54" i="93"/>
  <c r="S38" i="93"/>
  <c r="T38" i="93"/>
  <c r="S57" i="93"/>
  <c r="T57" i="93"/>
  <c r="T44" i="93"/>
  <c r="S44" i="93"/>
  <c r="S64" i="93"/>
  <c r="T64" i="93"/>
  <c r="T32" i="93"/>
  <c r="S32" i="93"/>
  <c r="S10" i="93"/>
  <c r="T10" i="93"/>
  <c r="S29" i="93"/>
  <c r="T29" i="93"/>
  <c r="T12" i="93"/>
  <c r="S12" i="93"/>
  <c r="T26" i="93"/>
  <c r="S26" i="93"/>
  <c r="S50" i="93"/>
  <c r="T50" i="93"/>
  <c r="T42" i="93"/>
  <c r="S42" i="93"/>
  <c r="S20" i="93"/>
  <c r="T20" i="93"/>
  <c r="S49" i="93"/>
  <c r="T49" i="93"/>
  <c r="T22" i="93"/>
  <c r="S22" i="93"/>
  <c r="T17" i="93"/>
  <c r="S17" i="93"/>
  <c r="S56" i="93"/>
  <c r="T56" i="93"/>
  <c r="T58" i="93"/>
  <c r="S58" i="93"/>
  <c r="T40" i="93"/>
  <c r="S40" i="93"/>
  <c r="T33" i="93"/>
  <c r="S33" i="93"/>
  <c r="T18" i="93"/>
  <c r="S18" i="93"/>
  <c r="T48" i="93"/>
  <c r="S48" i="93"/>
  <c r="S43" i="93"/>
  <c r="T43" i="93"/>
  <c r="S9" i="93"/>
  <c r="T9" i="93"/>
  <c r="S16" i="93"/>
  <c r="T16" i="93"/>
  <c r="S51" i="93"/>
  <c r="T51" i="93"/>
  <c r="H3" i="141"/>
  <c r="T46" i="93"/>
  <c r="S46" i="93"/>
  <c r="S21" i="93"/>
  <c r="T21" i="93"/>
  <c r="T25" i="93"/>
  <c r="S25" i="93"/>
  <c r="S35" i="93"/>
  <c r="T35" i="93"/>
  <c r="S11" i="93"/>
  <c r="T11" i="93"/>
  <c r="T30" i="93"/>
  <c r="S30" i="93"/>
  <c r="R65" i="93"/>
  <c r="T7" i="93"/>
  <c r="S7" i="93"/>
  <c r="S41" i="93"/>
  <c r="T41" i="93"/>
  <c r="S53" i="93"/>
  <c r="T53" i="93"/>
  <c r="T61" i="93"/>
  <c r="S61" i="93"/>
  <c r="T13" i="93"/>
  <c r="S13" i="93"/>
  <c r="S15" i="93"/>
  <c r="T15" i="93"/>
  <c r="S34" i="93"/>
  <c r="T34" i="93"/>
  <c r="T60" i="93"/>
  <c r="S60" i="93"/>
  <c r="T19" i="93"/>
  <c r="S19" i="93"/>
  <c r="T31" i="93"/>
  <c r="S31" i="93"/>
  <c r="S28" i="93"/>
  <c r="T28" i="93"/>
  <c r="T62" i="93"/>
  <c r="S62" i="93"/>
  <c r="S59" i="93"/>
  <c r="T59" i="93"/>
  <c r="S55" i="93"/>
  <c r="T55" i="93"/>
  <c r="T23" i="93"/>
  <c r="S23" i="93"/>
  <c r="S27" i="93"/>
  <c r="T27" i="93"/>
  <c r="S45" i="93"/>
  <c r="T45" i="93"/>
  <c r="T24" i="93"/>
  <c r="S24" i="93"/>
  <c r="T47" i="93"/>
  <c r="S47" i="93"/>
  <c r="S37" i="93"/>
  <c r="T37" i="93"/>
  <c r="S39" i="93"/>
  <c r="T39" i="93"/>
  <c r="K3" i="141"/>
  <c r="H61" i="141"/>
  <c r="S65" i="93"/>
  <c r="T65" i="93"/>
  <c r="K4" i="141"/>
  <c r="K10" i="141"/>
  <c r="K20" i="141"/>
  <c r="K23" i="141"/>
  <c r="K5" i="141"/>
  <c r="K41" i="141"/>
  <c r="K60" i="141"/>
  <c r="K18" i="141"/>
  <c r="K11" i="141"/>
  <c r="K19" i="141"/>
  <c r="K45" i="141"/>
  <c r="K30" i="141"/>
  <c r="K32" i="141"/>
  <c r="K29" i="141"/>
  <c r="K25" i="141"/>
  <c r="K50" i="141"/>
  <c r="K39" i="141"/>
  <c r="K49" i="141"/>
  <c r="K38" i="141"/>
  <c r="K27" i="141"/>
  <c r="K8" i="141"/>
  <c r="K31" i="141"/>
  <c r="K7" i="141"/>
  <c r="K47" i="141"/>
  <c r="K59" i="141"/>
  <c r="K57" i="141"/>
  <c r="K54" i="141"/>
  <c r="K55" i="141"/>
  <c r="K46" i="141"/>
  <c r="K40" i="141"/>
  <c r="K36" i="141"/>
  <c r="K43" i="141"/>
  <c r="K34" i="141"/>
  <c r="K26" i="141"/>
  <c r="K17" i="141"/>
  <c r="K24" i="141"/>
  <c r="K58" i="141"/>
  <c r="K52" i="141"/>
  <c r="K53" i="141"/>
  <c r="K9" i="141"/>
  <c r="K14" i="141"/>
  <c r="K28" i="141"/>
  <c r="K13" i="141"/>
  <c r="K35" i="141"/>
  <c r="K22" i="141"/>
  <c r="K44" i="141"/>
  <c r="K42" i="141"/>
  <c r="K6" i="141"/>
  <c r="K33" i="141"/>
  <c r="K56" i="141"/>
  <c r="K37" i="141"/>
  <c r="K48" i="141"/>
  <c r="K15" i="141"/>
  <c r="K16" i="141"/>
  <c r="K12" i="141"/>
  <c r="K21" i="141"/>
  <c r="K51" i="141"/>
  <c r="Y50" i="41"/>
  <c r="Y8" i="41"/>
  <c r="Y14" i="41"/>
  <c r="Y39" i="41"/>
  <c r="Y54" i="41"/>
  <c r="Y63" i="41"/>
  <c r="Y32" i="41"/>
  <c r="Y12" i="41"/>
  <c r="Y47" i="41"/>
  <c r="Y36" i="41"/>
  <c r="Y24" i="41"/>
  <c r="Y16" i="41"/>
  <c r="Y30" i="41"/>
  <c r="Y51" i="41"/>
  <c r="Y43" i="41"/>
  <c r="Y60" i="41"/>
  <c r="Y55" i="41"/>
  <c r="E65" i="41"/>
  <c r="D65" i="41"/>
  <c r="O40" i="93"/>
  <c r="O9" i="93"/>
  <c r="O13" i="93"/>
  <c r="Y27" i="41"/>
  <c r="O10" i="93"/>
  <c r="O55" i="93"/>
  <c r="O20" i="93"/>
  <c r="M14" i="93"/>
  <c r="P14" i="93"/>
  <c r="J36" i="93"/>
  <c r="N36" i="93"/>
  <c r="O36" i="93"/>
  <c r="M36" i="93"/>
  <c r="P36" i="93"/>
  <c r="K49" i="93"/>
  <c r="O49" i="93"/>
  <c r="J11" i="93"/>
  <c r="N11" i="93"/>
  <c r="O12" i="93"/>
  <c r="K11" i="93"/>
  <c r="O22" i="93"/>
  <c r="G20" i="146"/>
  <c r="T20" i="41"/>
  <c r="G65" i="146"/>
  <c r="F10" i="143"/>
  <c r="Q10" i="41"/>
  <c r="F65" i="143"/>
  <c r="F46" i="143"/>
  <c r="Q46" i="41"/>
  <c r="G38" i="143"/>
  <c r="R38" i="41"/>
  <c r="G65" i="143"/>
  <c r="F32" i="146"/>
  <c r="S32" i="41"/>
  <c r="K43" i="93"/>
  <c r="O43" i="93"/>
  <c r="G37" i="143"/>
  <c r="R37" i="41"/>
  <c r="F30" i="143"/>
  <c r="Q30" i="41"/>
  <c r="F27" i="146"/>
  <c r="S27" i="41"/>
  <c r="F14" i="143"/>
  <c r="Q14" i="41"/>
  <c r="F11" i="146"/>
  <c r="S11" i="41"/>
  <c r="AA65" i="41"/>
  <c r="Y42" i="41"/>
  <c r="Y11" i="41"/>
  <c r="Y26" i="41"/>
  <c r="Y25" i="41"/>
  <c r="Y20" i="41"/>
  <c r="Y35" i="41"/>
  <c r="F65" i="146"/>
  <c r="Y58" i="41"/>
  <c r="Y34" i="41"/>
  <c r="Y41" i="41"/>
  <c r="Y49" i="41"/>
  <c r="Y9" i="41"/>
  <c r="Y19" i="41"/>
  <c r="Y61" i="41"/>
  <c r="Y7" i="41"/>
  <c r="Y65" i="41" s="1"/>
  <c r="Y59" i="41"/>
  <c r="Y29" i="41"/>
  <c r="Y33" i="41"/>
  <c r="Y23" i="41"/>
  <c r="Y18" i="41"/>
  <c r="Y45" i="41"/>
  <c r="Y15" i="41"/>
  <c r="Y57" i="41"/>
  <c r="Y38" i="41"/>
  <c r="Y40" i="41"/>
  <c r="Y44" i="41"/>
  <c r="Y48" i="41"/>
  <c r="Y52" i="41"/>
  <c r="Y28" i="41"/>
  <c r="Y62" i="41"/>
  <c r="Y64" i="41"/>
  <c r="Y31" i="41"/>
  <c r="Y17" i="41"/>
  <c r="Y21" i="41"/>
  <c r="Y37" i="41"/>
  <c r="Y22" i="41"/>
  <c r="Y53" i="41"/>
  <c r="Y46" i="41"/>
  <c r="Y10" i="41"/>
  <c r="Y13" i="41"/>
  <c r="Q36" i="93"/>
  <c r="R36" i="93"/>
  <c r="S36" i="93"/>
  <c r="T36" i="93"/>
  <c r="Q14" i="93"/>
  <c r="R14" i="93"/>
  <c r="T14" i="93"/>
  <c r="S14" i="93"/>
  <c r="O11" i="93"/>
  <c r="H11" i="41"/>
  <c r="H27" i="41"/>
  <c r="H35" i="41"/>
  <c r="H62" i="41"/>
  <c r="H32" i="41"/>
  <c r="H37" i="41"/>
  <c r="H53" i="41"/>
  <c r="H38" i="41"/>
  <c r="H20" i="41"/>
  <c r="H44" i="41"/>
  <c r="H47" i="41"/>
  <c r="H58" i="41"/>
  <c r="H59" i="41"/>
  <c r="H36" i="41"/>
  <c r="H60" i="41"/>
  <c r="H61" i="41"/>
  <c r="H31" i="41"/>
  <c r="H10" i="41"/>
  <c r="H40" i="41"/>
  <c r="H21" i="41"/>
  <c r="D4" i="72"/>
  <c r="H26" i="41"/>
  <c r="H19" i="41"/>
  <c r="H16" i="41"/>
  <c r="H57" i="41"/>
  <c r="H52" i="41"/>
  <c r="H29" i="41"/>
  <c r="H56" i="41"/>
  <c r="H41" i="41"/>
  <c r="H50" i="41"/>
  <c r="H17" i="41"/>
  <c r="H18" i="41"/>
  <c r="H39" i="41"/>
  <c r="H54" i="41"/>
  <c r="H22" i="41"/>
  <c r="H23" i="41"/>
  <c r="H43" i="41"/>
  <c r="H63" i="41"/>
  <c r="H42" i="41"/>
  <c r="H25" i="41"/>
  <c r="H28" i="41"/>
  <c r="H55" i="41"/>
  <c r="H64" i="41"/>
  <c r="H12" i="41"/>
  <c r="H34" i="41"/>
  <c r="H8" i="41"/>
  <c r="H49" i="41"/>
  <c r="H33" i="41"/>
  <c r="H9" i="41"/>
  <c r="H48" i="41"/>
  <c r="H13" i="41"/>
  <c r="H45" i="41"/>
  <c r="H14" i="41"/>
  <c r="H46" i="41"/>
  <c r="H15" i="41"/>
  <c r="H30" i="41"/>
  <c r="H24" i="41"/>
  <c r="H51" i="41"/>
  <c r="G59" i="72"/>
  <c r="G32" i="72"/>
  <c r="G54" i="72"/>
  <c r="G46" i="72"/>
  <c r="G35" i="72"/>
  <c r="G50" i="72"/>
  <c r="G18" i="72"/>
  <c r="G24" i="72"/>
  <c r="G25" i="72"/>
  <c r="G26" i="72"/>
  <c r="G36" i="72"/>
  <c r="G21" i="72"/>
  <c r="G20" i="72"/>
  <c r="K12" i="72" l="1"/>
  <c r="G12" i="72"/>
  <c r="G41" i="72"/>
  <c r="G57" i="72"/>
  <c r="G6" i="72"/>
  <c r="G9" i="72"/>
  <c r="G14" i="72"/>
  <c r="I61" i="41"/>
  <c r="K60" i="72"/>
  <c r="H35" i="72"/>
  <c r="V36" i="41" s="1"/>
  <c r="I36" i="41"/>
  <c r="K40" i="72"/>
  <c r="I41" i="41"/>
  <c r="H50" i="72"/>
  <c r="V51" i="41" s="1"/>
  <c r="I51" i="41"/>
  <c r="K52" i="72"/>
  <c r="I53" i="41"/>
  <c r="I33" i="41"/>
  <c r="H32" i="72"/>
  <c r="V33" i="41" s="1"/>
  <c r="H20" i="72"/>
  <c r="I21" i="41"/>
  <c r="H36" i="72"/>
  <c r="V37" i="41" s="1"/>
  <c r="I37" i="41"/>
  <c r="I11" i="41"/>
  <c r="K10" i="72"/>
  <c r="L65" i="41"/>
  <c r="I47" i="41"/>
  <c r="H46" i="72"/>
  <c r="V47" i="41" s="1"/>
  <c r="I14" i="41"/>
  <c r="K13" i="72"/>
  <c r="K8" i="72"/>
  <c r="I9" i="41"/>
  <c r="I42" i="41"/>
  <c r="H41" i="72"/>
  <c r="V42" i="41" s="1"/>
  <c r="I27" i="41"/>
  <c r="H26" i="72"/>
  <c r="V27" i="41" s="1"/>
  <c r="I25" i="41"/>
  <c r="H24" i="72"/>
  <c r="K11" i="72"/>
  <c r="I12" i="41"/>
  <c r="H6" i="72"/>
  <c r="I13" i="41"/>
  <c r="H12" i="72"/>
  <c r="I17" i="41"/>
  <c r="K16" i="72"/>
  <c r="H14" i="72"/>
  <c r="I15" i="41"/>
  <c r="I10" i="41"/>
  <c r="H9" i="72"/>
  <c r="I8" i="41"/>
  <c r="H45" i="72"/>
  <c r="V46" i="41" s="1"/>
  <c r="K19" i="72"/>
  <c r="H21" i="72"/>
  <c r="H54" i="72"/>
  <c r="H57" i="72"/>
  <c r="K37" i="72"/>
  <c r="K27" i="72"/>
  <c r="K31" i="72"/>
  <c r="K23" i="72"/>
  <c r="U36" i="41"/>
  <c r="J36" i="41"/>
  <c r="O36" i="41" s="1"/>
  <c r="G42" i="72"/>
  <c r="H42" i="72"/>
  <c r="H17" i="72"/>
  <c r="K17" i="72"/>
  <c r="G17" i="72"/>
  <c r="H62" i="72"/>
  <c r="K62" i="72"/>
  <c r="G62" i="72"/>
  <c r="K59" i="72"/>
  <c r="H59" i="72"/>
  <c r="K58" i="72"/>
  <c r="K45" i="72"/>
  <c r="K43" i="72"/>
  <c r="G43" i="72"/>
  <c r="H43" i="72"/>
  <c r="K42" i="72"/>
  <c r="K30" i="72"/>
  <c r="H25" i="72"/>
  <c r="K25" i="72"/>
  <c r="G61" i="72"/>
  <c r="H61" i="72"/>
  <c r="G55" i="72"/>
  <c r="H55" i="72"/>
  <c r="K55" i="72"/>
  <c r="G39" i="72"/>
  <c r="H39" i="72"/>
  <c r="K39" i="72"/>
  <c r="G22" i="72"/>
  <c r="H22" i="72"/>
  <c r="K22" i="72"/>
  <c r="G49" i="72"/>
  <c r="H49" i="72"/>
  <c r="K49" i="72"/>
  <c r="G33" i="72"/>
  <c r="H33" i="72"/>
  <c r="K33" i="72"/>
  <c r="G63" i="72"/>
  <c r="H63" i="72"/>
  <c r="K63" i="72"/>
  <c r="G53" i="72"/>
  <c r="H53" i="72"/>
  <c r="G47" i="72"/>
  <c r="H47" i="72"/>
  <c r="K47" i="72"/>
  <c r="G34" i="72"/>
  <c r="H34" i="72"/>
  <c r="H18" i="72"/>
  <c r="K18" i="72"/>
  <c r="K53" i="72"/>
  <c r="K51" i="72"/>
  <c r="G38" i="72"/>
  <c r="H38" i="72"/>
  <c r="K34" i="72"/>
  <c r="G29" i="72"/>
  <c r="H29" i="72"/>
  <c r="G15" i="72"/>
  <c r="H15" i="72"/>
  <c r="G56" i="72"/>
  <c r="H56" i="72"/>
  <c r="G48" i="72"/>
  <c r="H48" i="72"/>
  <c r="G44" i="72"/>
  <c r="H44" i="72"/>
  <c r="G28" i="72"/>
  <c r="H28" i="72"/>
  <c r="K15" i="72"/>
  <c r="U47" i="41" l="1"/>
  <c r="W47" i="41" s="1"/>
  <c r="J37" i="41"/>
  <c r="O37" i="41" s="1"/>
  <c r="J27" i="41"/>
  <c r="O27" i="41" s="1"/>
  <c r="U27" i="41"/>
  <c r="W27" i="41" s="1"/>
  <c r="J47" i="41"/>
  <c r="O47" i="41" s="1"/>
  <c r="J46" i="41"/>
  <c r="O46" i="41" s="1"/>
  <c r="J51" i="41"/>
  <c r="O51" i="41" s="1"/>
  <c r="U51" i="41"/>
  <c r="W51" i="41" s="1"/>
  <c r="J33" i="41"/>
  <c r="O33" i="41" s="1"/>
  <c r="U33" i="41"/>
  <c r="W33" i="41" s="1"/>
  <c r="U37" i="41"/>
  <c r="W37" i="41" s="1"/>
  <c r="U46" i="41"/>
  <c r="W46" i="41" s="1"/>
  <c r="V21" i="41"/>
  <c r="J21" i="41"/>
  <c r="O21" i="41" s="1"/>
  <c r="U21" i="41"/>
  <c r="J42" i="41"/>
  <c r="O42" i="41" s="1"/>
  <c r="V13" i="41"/>
  <c r="U13" i="41"/>
  <c r="J13" i="41"/>
  <c r="O13" i="41" s="1"/>
  <c r="J7" i="41"/>
  <c r="O7" i="41" s="1"/>
  <c r="V7" i="41"/>
  <c r="K64" i="72"/>
  <c r="D67" i="72" s="1"/>
  <c r="U42" i="41"/>
  <c r="W42" i="41" s="1"/>
  <c r="W36" i="41"/>
  <c r="AB36" i="41" s="1"/>
  <c r="I32" i="141" s="1"/>
  <c r="O32" i="141" s="1"/>
  <c r="P32" i="141" s="1"/>
  <c r="V58" i="41"/>
  <c r="U58" i="41"/>
  <c r="J58" i="41"/>
  <c r="O58" i="41" s="1"/>
  <c r="J15" i="41"/>
  <c r="O15" i="41" s="1"/>
  <c r="U15" i="41"/>
  <c r="V15" i="41"/>
  <c r="U55" i="41"/>
  <c r="V55" i="41"/>
  <c r="J55" i="41"/>
  <c r="O55" i="41" s="1"/>
  <c r="U10" i="41"/>
  <c r="J10" i="41"/>
  <c r="O10" i="41" s="1"/>
  <c r="V10" i="41"/>
  <c r="U22" i="41"/>
  <c r="J22" i="41"/>
  <c r="O22" i="41" s="1"/>
  <c r="V22" i="41"/>
  <c r="U25" i="41"/>
  <c r="V25" i="41"/>
  <c r="J25" i="41"/>
  <c r="O25" i="41" s="1"/>
  <c r="U16" i="41"/>
  <c r="J16" i="41"/>
  <c r="O16" i="41" s="1"/>
  <c r="V16" i="41"/>
  <c r="V35" i="41"/>
  <c r="J35" i="41"/>
  <c r="O35" i="41" s="1"/>
  <c r="U35" i="41"/>
  <c r="J64" i="41"/>
  <c r="O64" i="41" s="1"/>
  <c r="V64" i="41"/>
  <c r="U64" i="41"/>
  <c r="U26" i="41"/>
  <c r="V26" i="41"/>
  <c r="J26" i="41"/>
  <c r="O26" i="41" s="1"/>
  <c r="V44" i="41"/>
  <c r="J44" i="41"/>
  <c r="O44" i="41" s="1"/>
  <c r="U44" i="41"/>
  <c r="J19" i="41"/>
  <c r="O19" i="41" s="1"/>
  <c r="V19" i="41"/>
  <c r="U19" i="41"/>
  <c r="U48" i="41"/>
  <c r="J48" i="41"/>
  <c r="O48" i="41" s="1"/>
  <c r="V48" i="41"/>
  <c r="V62" i="41"/>
  <c r="J62" i="41"/>
  <c r="O62" i="41" s="1"/>
  <c r="U62" i="41"/>
  <c r="V45" i="41"/>
  <c r="U45" i="41"/>
  <c r="J45" i="41"/>
  <c r="O45" i="41" s="1"/>
  <c r="V54" i="41"/>
  <c r="U54" i="41"/>
  <c r="J54" i="41"/>
  <c r="O54" i="41" s="1"/>
  <c r="V50" i="41"/>
  <c r="J50" i="41"/>
  <c r="O50" i="41" s="1"/>
  <c r="U50" i="41"/>
  <c r="J56" i="41"/>
  <c r="O56" i="41" s="1"/>
  <c r="V56" i="41"/>
  <c r="U56" i="41"/>
  <c r="J60" i="41"/>
  <c r="O60" i="41" s="1"/>
  <c r="U60" i="41"/>
  <c r="V60" i="41"/>
  <c r="J63" i="41"/>
  <c r="O63" i="41" s="1"/>
  <c r="V63" i="41"/>
  <c r="U63" i="41"/>
  <c r="J18" i="41"/>
  <c r="O18" i="41" s="1"/>
  <c r="U18" i="41"/>
  <c r="V18" i="41"/>
  <c r="J23" i="41"/>
  <c r="O23" i="41" s="1"/>
  <c r="V23" i="41"/>
  <c r="U23" i="41"/>
  <c r="V57" i="41"/>
  <c r="U57" i="41"/>
  <c r="J57" i="41"/>
  <c r="O57" i="41" s="1"/>
  <c r="J39" i="41"/>
  <c r="O39" i="41" s="1"/>
  <c r="U39" i="41"/>
  <c r="V39" i="41"/>
  <c r="U29" i="41"/>
  <c r="V29" i="41"/>
  <c r="J29" i="41"/>
  <c r="O29" i="41" s="1"/>
  <c r="J49" i="41"/>
  <c r="O49" i="41" s="1"/>
  <c r="V49" i="41"/>
  <c r="U49" i="41"/>
  <c r="J30" i="41"/>
  <c r="O30" i="41" s="1"/>
  <c r="V30" i="41"/>
  <c r="U30" i="41"/>
  <c r="U34" i="41"/>
  <c r="V34" i="41"/>
  <c r="J34" i="41"/>
  <c r="O34" i="41" s="1"/>
  <c r="U40" i="41"/>
  <c r="J40" i="41"/>
  <c r="O40" i="41" s="1"/>
  <c r="V40" i="41"/>
  <c r="U43" i="41"/>
  <c r="J43" i="41"/>
  <c r="O43" i="41" s="1"/>
  <c r="V43" i="41"/>
  <c r="AB37" i="41" l="1"/>
  <c r="AB51" i="41"/>
  <c r="AB47" i="41"/>
  <c r="I43" i="141" s="1"/>
  <c r="O43" i="141" s="1"/>
  <c r="P43" i="141" s="1"/>
  <c r="AB27" i="41"/>
  <c r="AB46" i="41"/>
  <c r="AD51" i="41"/>
  <c r="W13" i="41"/>
  <c r="AB13" i="41" s="1"/>
  <c r="I9" i="141" s="1"/>
  <c r="O9" i="141" s="1"/>
  <c r="P9" i="141" s="1"/>
  <c r="AB33" i="41"/>
  <c r="W49" i="41"/>
  <c r="AB49" i="41" s="1"/>
  <c r="I45" i="141" s="1"/>
  <c r="O45" i="141" s="1"/>
  <c r="P45" i="141" s="1"/>
  <c r="W23" i="41"/>
  <c r="AB23" i="41" s="1"/>
  <c r="I19" i="141" s="1"/>
  <c r="O19" i="141" s="1"/>
  <c r="P19" i="141" s="1"/>
  <c r="AD36" i="41"/>
  <c r="D36" i="93"/>
  <c r="W34" i="41"/>
  <c r="AB34" i="41" s="1"/>
  <c r="I30" i="141" s="1"/>
  <c r="O30" i="141" s="1"/>
  <c r="P30" i="141" s="1"/>
  <c r="H66" i="72"/>
  <c r="W25" i="41"/>
  <c r="AB25" i="41" s="1"/>
  <c r="I21" i="141" s="1"/>
  <c r="O21" i="141" s="1"/>
  <c r="P21" i="141" s="1"/>
  <c r="W15" i="41"/>
  <c r="AB15" i="41" s="1"/>
  <c r="I11" i="141" s="1"/>
  <c r="O11" i="141" s="1"/>
  <c r="P11" i="141" s="1"/>
  <c r="W7" i="41"/>
  <c r="AB7" i="41" s="1"/>
  <c r="W21" i="41"/>
  <c r="AB21" i="41" s="1"/>
  <c r="I17" i="141" s="1"/>
  <c r="O17" i="141" s="1"/>
  <c r="P17" i="141" s="1"/>
  <c r="W19" i="41"/>
  <c r="AB19" i="41" s="1"/>
  <c r="I15" i="141" s="1"/>
  <c r="O15" i="141" s="1"/>
  <c r="P15" i="141" s="1"/>
  <c r="W55" i="41"/>
  <c r="AB55" i="41" s="1"/>
  <c r="I51" i="141" s="1"/>
  <c r="O51" i="141" s="1"/>
  <c r="P51" i="141" s="1"/>
  <c r="AB42" i="41"/>
  <c r="I38" i="141" s="1"/>
  <c r="O38" i="141" s="1"/>
  <c r="P38" i="141" s="1"/>
  <c r="W10" i="41"/>
  <c r="AB10" i="41" s="1"/>
  <c r="I6" i="141" s="1"/>
  <c r="O6" i="141" s="1"/>
  <c r="P6" i="141" s="1"/>
  <c r="W39" i="41"/>
  <c r="AB39" i="41" s="1"/>
  <c r="I35" i="141" s="1"/>
  <c r="O35" i="141" s="1"/>
  <c r="P35" i="141" s="1"/>
  <c r="W18" i="41"/>
  <c r="AB18" i="41" s="1"/>
  <c r="I14" i="141" s="1"/>
  <c r="O14" i="141" s="1"/>
  <c r="P14" i="141" s="1"/>
  <c r="W56" i="41"/>
  <c r="AB56" i="41" s="1"/>
  <c r="I52" i="141" s="1"/>
  <c r="O52" i="141" s="1"/>
  <c r="P52" i="141" s="1"/>
  <c r="W45" i="41"/>
  <c r="AB45" i="41" s="1"/>
  <c r="I41" i="141" s="1"/>
  <c r="O41" i="141" s="1"/>
  <c r="P41" i="141" s="1"/>
  <c r="W16" i="41"/>
  <c r="AB16" i="41" s="1"/>
  <c r="I12" i="141" s="1"/>
  <c r="O12" i="141" s="1"/>
  <c r="P12" i="141" s="1"/>
  <c r="W22" i="41"/>
  <c r="AB22" i="41" s="1"/>
  <c r="I18" i="141" s="1"/>
  <c r="O18" i="141" s="1"/>
  <c r="P18" i="141" s="1"/>
  <c r="W58" i="41"/>
  <c r="AB58" i="41" s="1"/>
  <c r="I54" i="141" s="1"/>
  <c r="O54" i="141" s="1"/>
  <c r="P54" i="141" s="1"/>
  <c r="W44" i="41"/>
  <c r="W35" i="41"/>
  <c r="AB35" i="41" s="1"/>
  <c r="I31" i="141" s="1"/>
  <c r="O31" i="141" s="1"/>
  <c r="P31" i="141" s="1"/>
  <c r="G40" i="72"/>
  <c r="H40" i="72" s="1"/>
  <c r="G4" i="72"/>
  <c r="G7" i="72"/>
  <c r="H7" i="72" s="1"/>
  <c r="G13" i="72"/>
  <c r="H13" i="72" s="1"/>
  <c r="G19" i="72"/>
  <c r="H19" i="72" s="1"/>
  <c r="G37" i="72"/>
  <c r="H37" i="72" s="1"/>
  <c r="G27" i="72"/>
  <c r="H27" i="72" s="1"/>
  <c r="G31" i="72"/>
  <c r="H31" i="72" s="1"/>
  <c r="G52" i="72"/>
  <c r="H52" i="72" s="1"/>
  <c r="G60" i="72"/>
  <c r="H60" i="72" s="1"/>
  <c r="G10" i="72"/>
  <c r="H10" i="72" s="1"/>
  <c r="G11" i="72"/>
  <c r="H11" i="72" s="1"/>
  <c r="G23" i="72"/>
  <c r="H23" i="72" s="1"/>
  <c r="G8" i="72"/>
  <c r="H8" i="72" s="1"/>
  <c r="G30" i="72"/>
  <c r="H30" i="72" s="1"/>
  <c r="G16" i="72"/>
  <c r="H16" i="72" s="1"/>
  <c r="G51" i="72"/>
  <c r="H51" i="72" s="1"/>
  <c r="G58" i="72"/>
  <c r="H58" i="72" s="1"/>
  <c r="AB44" i="41"/>
  <c r="I40" i="141" s="1"/>
  <c r="O40" i="141" s="1"/>
  <c r="P40" i="141" s="1"/>
  <c r="W26" i="41"/>
  <c r="AB26" i="41" s="1"/>
  <c r="I22" i="141" s="1"/>
  <c r="O22" i="141" s="1"/>
  <c r="P22" i="141" s="1"/>
  <c r="W43" i="41"/>
  <c r="AB43" i="41" s="1"/>
  <c r="I39" i="141" s="1"/>
  <c r="O39" i="141" s="1"/>
  <c r="P39" i="141" s="1"/>
  <c r="W40" i="41"/>
  <c r="AB40" i="41" s="1"/>
  <c r="I36" i="141" s="1"/>
  <c r="O36" i="141" s="1"/>
  <c r="P36" i="141" s="1"/>
  <c r="W30" i="41"/>
  <c r="AB30" i="41" s="1"/>
  <c r="I26" i="141" s="1"/>
  <c r="O26" i="141" s="1"/>
  <c r="P26" i="141" s="1"/>
  <c r="W29" i="41"/>
  <c r="AB29" i="41" s="1"/>
  <c r="I25" i="141" s="1"/>
  <c r="O25" i="141" s="1"/>
  <c r="P25" i="141" s="1"/>
  <c r="W63" i="41"/>
  <c r="AB63" i="41" s="1"/>
  <c r="I59" i="141" s="1"/>
  <c r="O59" i="141" s="1"/>
  <c r="P59" i="141" s="1"/>
  <c r="W60" i="41"/>
  <c r="AB60" i="41" s="1"/>
  <c r="I56" i="141" s="1"/>
  <c r="O56" i="141" s="1"/>
  <c r="P56" i="141" s="1"/>
  <c r="W64" i="41"/>
  <c r="AB64" i="41" s="1"/>
  <c r="I60" i="141" s="1"/>
  <c r="O60" i="141" s="1"/>
  <c r="P60" i="141" s="1"/>
  <c r="W57" i="41"/>
  <c r="AB57" i="41" s="1"/>
  <c r="I53" i="141" s="1"/>
  <c r="O53" i="141" s="1"/>
  <c r="P53" i="141" s="1"/>
  <c r="W50" i="41"/>
  <c r="AB50" i="41" s="1"/>
  <c r="I46" i="141" s="1"/>
  <c r="O46" i="141" s="1"/>
  <c r="P46" i="141" s="1"/>
  <c r="W54" i="41"/>
  <c r="AB54" i="41" s="1"/>
  <c r="I50" i="141" s="1"/>
  <c r="O50" i="141" s="1"/>
  <c r="P50" i="141" s="1"/>
  <c r="W62" i="41"/>
  <c r="AB62" i="41" s="1"/>
  <c r="I58" i="141" s="1"/>
  <c r="O58" i="141" s="1"/>
  <c r="P58" i="141" s="1"/>
  <c r="W48" i="41"/>
  <c r="AB48" i="41" s="1"/>
  <c r="I44" i="141" s="1"/>
  <c r="O44" i="141" s="1"/>
  <c r="P44" i="141" s="1"/>
  <c r="AD47" i="41" l="1"/>
  <c r="D47" i="93"/>
  <c r="AD33" i="41"/>
  <c r="I29" i="141"/>
  <c r="O29" i="141" s="1"/>
  <c r="P29" i="141" s="1"/>
  <c r="D27" i="93"/>
  <c r="I23" i="141"/>
  <c r="O23" i="141" s="1"/>
  <c r="P23" i="141" s="1"/>
  <c r="D51" i="93"/>
  <c r="I47" i="141"/>
  <c r="O47" i="141" s="1"/>
  <c r="P47" i="141" s="1"/>
  <c r="AD7" i="41"/>
  <c r="I3" i="141"/>
  <c r="D46" i="93"/>
  <c r="I42" i="141"/>
  <c r="O42" i="141" s="1"/>
  <c r="P42" i="141" s="1"/>
  <c r="D37" i="93"/>
  <c r="AD37" i="41"/>
  <c r="I33" i="141"/>
  <c r="O33" i="141" s="1"/>
  <c r="P33" i="141" s="1"/>
  <c r="AD46" i="41"/>
  <c r="D33" i="93"/>
  <c r="AD27" i="41"/>
  <c r="AD21" i="41"/>
  <c r="D21" i="93"/>
  <c r="D45" i="93"/>
  <c r="AD45" i="41"/>
  <c r="AD10" i="41"/>
  <c r="D10" i="93"/>
  <c r="D16" i="93"/>
  <c r="AD16" i="41"/>
  <c r="D7" i="93"/>
  <c r="AD58" i="41"/>
  <c r="D58" i="93"/>
  <c r="AD55" i="41"/>
  <c r="D55" i="93"/>
  <c r="D42" i="93"/>
  <c r="AD42" i="41"/>
  <c r="AD22" i="41"/>
  <c r="D22" i="93"/>
  <c r="AD25" i="41"/>
  <c r="D25" i="93"/>
  <c r="D13" i="93"/>
  <c r="AD13" i="41"/>
  <c r="D15" i="93"/>
  <c r="AD15" i="41"/>
  <c r="AD57" i="41"/>
  <c r="D57" i="93"/>
  <c r="D60" i="93"/>
  <c r="AD60" i="41"/>
  <c r="AD64" i="41"/>
  <c r="D64" i="93"/>
  <c r="AD29" i="41"/>
  <c r="D29" i="93"/>
  <c r="D54" i="93"/>
  <c r="AD54" i="41"/>
  <c r="D48" i="93"/>
  <c r="AD48" i="41"/>
  <c r="AD40" i="41"/>
  <c r="D40" i="93"/>
  <c r="AD50" i="41"/>
  <c r="D50" i="93"/>
  <c r="AD26" i="41"/>
  <c r="D26" i="93"/>
  <c r="D49" i="93"/>
  <c r="AD49" i="41"/>
  <c r="J9" i="41"/>
  <c r="O9" i="41" s="1"/>
  <c r="V9" i="41"/>
  <c r="U9" i="41"/>
  <c r="U38" i="41"/>
  <c r="V38" i="41"/>
  <c r="J38" i="41"/>
  <c r="O38" i="41" s="1"/>
  <c r="D63" i="93"/>
  <c r="AD63" i="41"/>
  <c r="AD19" i="41"/>
  <c r="D19" i="93"/>
  <c r="D18" i="93"/>
  <c r="AD18" i="41"/>
  <c r="V52" i="41"/>
  <c r="J52" i="41"/>
  <c r="O52" i="41" s="1"/>
  <c r="U52" i="41"/>
  <c r="J24" i="41"/>
  <c r="O24" i="41" s="1"/>
  <c r="U24" i="41"/>
  <c r="V24" i="41"/>
  <c r="V53" i="41"/>
  <c r="U53" i="41"/>
  <c r="J53" i="41"/>
  <c r="O53" i="41" s="1"/>
  <c r="U20" i="41"/>
  <c r="J20" i="41"/>
  <c r="O20" i="41" s="1"/>
  <c r="V20" i="41"/>
  <c r="J41" i="41"/>
  <c r="O41" i="41" s="1"/>
  <c r="V41" i="41"/>
  <c r="U41" i="41"/>
  <c r="AD56" i="41"/>
  <c r="D56" i="93"/>
  <c r="AD23" i="41"/>
  <c r="D23" i="93"/>
  <c r="AD34" i="41"/>
  <c r="D34" i="93"/>
  <c r="D62" i="93"/>
  <c r="AD62" i="41"/>
  <c r="U59" i="41"/>
  <c r="J59" i="41"/>
  <c r="O59" i="41" s="1"/>
  <c r="V59" i="41"/>
  <c r="J61" i="41"/>
  <c r="O61" i="41" s="1"/>
  <c r="U61" i="41"/>
  <c r="V61" i="41"/>
  <c r="AD39" i="41"/>
  <c r="D39" i="93"/>
  <c r="AD30" i="41"/>
  <c r="D30" i="93"/>
  <c r="J17" i="41"/>
  <c r="O17" i="41" s="1"/>
  <c r="V17" i="41"/>
  <c r="U17" i="41"/>
  <c r="U12" i="41"/>
  <c r="J12" i="41"/>
  <c r="O12" i="41" s="1"/>
  <c r="V12" i="41"/>
  <c r="J32" i="41"/>
  <c r="O32" i="41" s="1"/>
  <c r="V32" i="41"/>
  <c r="U32" i="41"/>
  <c r="V14" i="41"/>
  <c r="J14" i="41"/>
  <c r="O14" i="41" s="1"/>
  <c r="U14" i="41"/>
  <c r="D43" i="93"/>
  <c r="AD43" i="41"/>
  <c r="D35" i="93"/>
  <c r="AD35" i="41"/>
  <c r="AD44" i="41"/>
  <c r="D44" i="93"/>
  <c r="U31" i="41"/>
  <c r="V31" i="41"/>
  <c r="J31" i="41"/>
  <c r="O31" i="41" s="1"/>
  <c r="J11" i="41"/>
  <c r="O11" i="41" s="1"/>
  <c r="U11" i="41"/>
  <c r="V11" i="41"/>
  <c r="U28" i="41"/>
  <c r="J28" i="41"/>
  <c r="O28" i="41" s="1"/>
  <c r="V28" i="41"/>
  <c r="U8" i="41"/>
  <c r="V8" i="41"/>
  <c r="J8" i="41"/>
  <c r="O8" i="41" s="1"/>
  <c r="O3" i="141" l="1"/>
  <c r="W17" i="41"/>
  <c r="AB17" i="41" s="1"/>
  <c r="I13" i="141" s="1"/>
  <c r="O13" i="141" s="1"/>
  <c r="P13" i="141" s="1"/>
  <c r="W59" i="41"/>
  <c r="AB59" i="41" s="1"/>
  <c r="I55" i="141" s="1"/>
  <c r="O55" i="141" s="1"/>
  <c r="P55" i="141" s="1"/>
  <c r="W53" i="41"/>
  <c r="AB53" i="41" s="1"/>
  <c r="W61" i="41"/>
  <c r="AB61" i="41" s="1"/>
  <c r="I57" i="141" s="1"/>
  <c r="O57" i="141" s="1"/>
  <c r="P57" i="141" s="1"/>
  <c r="W41" i="41"/>
  <c r="AB41" i="41" s="1"/>
  <c r="V65" i="41"/>
  <c r="W28" i="41"/>
  <c r="AB28" i="41" s="1"/>
  <c r="I24" i="141" s="1"/>
  <c r="O24" i="141" s="1"/>
  <c r="P24" i="141" s="1"/>
  <c r="W14" i="41"/>
  <c r="AB14" i="41" s="1"/>
  <c r="I10" i="141" s="1"/>
  <c r="O10" i="141" s="1"/>
  <c r="P10" i="141" s="1"/>
  <c r="W12" i="41"/>
  <c r="AB12" i="41" s="1"/>
  <c r="I8" i="141" s="1"/>
  <c r="O8" i="141" s="1"/>
  <c r="P8" i="141" s="1"/>
  <c r="W24" i="41"/>
  <c r="AB24" i="41" s="1"/>
  <c r="I20" i="141" s="1"/>
  <c r="O20" i="141" s="1"/>
  <c r="P20" i="141" s="1"/>
  <c r="W38" i="41"/>
  <c r="AB38" i="41" s="1"/>
  <c r="I34" i="141" s="1"/>
  <c r="O34" i="141" s="1"/>
  <c r="P34" i="141" s="1"/>
  <c r="W11" i="41"/>
  <c r="AB11" i="41" s="1"/>
  <c r="I7" i="141" s="1"/>
  <c r="O7" i="141" s="1"/>
  <c r="P7" i="141" s="1"/>
  <c r="W31" i="41"/>
  <c r="AB31" i="41" s="1"/>
  <c r="I27" i="141" s="1"/>
  <c r="O27" i="141" s="1"/>
  <c r="P27" i="141" s="1"/>
  <c r="W52" i="41"/>
  <c r="AB52" i="41" s="1"/>
  <c r="I48" i="141" s="1"/>
  <c r="O48" i="141" s="1"/>
  <c r="P48" i="141" s="1"/>
  <c r="W9" i="41"/>
  <c r="AB9" i="41" s="1"/>
  <c r="I5" i="141" s="1"/>
  <c r="O5" i="141" s="1"/>
  <c r="P5" i="141" s="1"/>
  <c r="U65" i="41"/>
  <c r="W8" i="41"/>
  <c r="O65" i="41"/>
  <c r="W32" i="41"/>
  <c r="AB32" i="41" s="1"/>
  <c r="I28" i="141" s="1"/>
  <c r="O28" i="141" s="1"/>
  <c r="P28" i="141" s="1"/>
  <c r="W20" i="41"/>
  <c r="AB20" i="41" s="1"/>
  <c r="I16" i="141" s="1"/>
  <c r="O16" i="141" s="1"/>
  <c r="P16" i="141" s="1"/>
  <c r="AD41" i="41" l="1"/>
  <c r="I37" i="141"/>
  <c r="O37" i="141" s="1"/>
  <c r="P37" i="141" s="1"/>
  <c r="D53" i="93"/>
  <c r="I49" i="141"/>
  <c r="O49" i="141" s="1"/>
  <c r="P49" i="141" s="1"/>
  <c r="P3" i="141"/>
  <c r="AD53" i="41"/>
  <c r="D41" i="93"/>
  <c r="W65" i="41"/>
  <c r="D32" i="93"/>
  <c r="AD32" i="41"/>
  <c r="D9" i="93"/>
  <c r="AD9" i="41"/>
  <c r="D17" i="93"/>
  <c r="AD17" i="41"/>
  <c r="AD38" i="41"/>
  <c r="D38" i="93"/>
  <c r="D12" i="93"/>
  <c r="AD12" i="41"/>
  <c r="AD61" i="41"/>
  <c r="D61" i="93"/>
  <c r="D11" i="93"/>
  <c r="AD11" i="41"/>
  <c r="D31" i="93"/>
  <c r="AD31" i="41"/>
  <c r="AD28" i="41"/>
  <c r="D28" i="93"/>
  <c r="AD52" i="41"/>
  <c r="D52" i="93"/>
  <c r="D24" i="93"/>
  <c r="AD24" i="41"/>
  <c r="AD20" i="41"/>
  <c r="D20" i="93"/>
  <c r="AD59" i="41"/>
  <c r="D59" i="93"/>
  <c r="AB8" i="41"/>
  <c r="I4" i="141" s="1"/>
  <c r="AD14" i="41"/>
  <c r="D14" i="93"/>
  <c r="O4" i="141" l="1"/>
  <c r="I61" i="141"/>
  <c r="D8" i="93"/>
  <c r="AD8" i="41"/>
  <c r="AB65" i="41"/>
  <c r="P4" i="141" l="1"/>
  <c r="O61" i="141"/>
  <c r="P61" i="141" s="1"/>
  <c r="D65" i="93"/>
  <c r="AC21" i="41"/>
  <c r="AC25" i="41"/>
  <c r="AC33" i="41"/>
  <c r="AC13" i="41"/>
  <c r="AC51" i="41"/>
  <c r="AC42" i="41"/>
  <c r="AC37" i="41"/>
  <c r="AC55" i="41"/>
  <c r="AC10" i="41"/>
  <c r="AC58" i="41"/>
  <c r="AC15" i="41"/>
  <c r="AC36" i="41"/>
  <c r="AC7" i="41"/>
  <c r="AC27" i="41"/>
  <c r="AC22" i="41"/>
  <c r="AC47" i="41"/>
  <c r="AC46" i="41"/>
  <c r="AC16" i="41"/>
  <c r="AC45" i="41"/>
  <c r="AC64" i="41"/>
  <c r="AC18" i="41"/>
  <c r="AC39" i="41"/>
  <c r="AC43" i="41"/>
  <c r="AC35" i="41"/>
  <c r="AC50" i="41"/>
  <c r="AC63" i="41"/>
  <c r="AC60" i="41"/>
  <c r="AC29" i="41"/>
  <c r="AC54" i="41"/>
  <c r="AC48" i="41"/>
  <c r="AC26" i="41"/>
  <c r="AC49" i="41"/>
  <c r="AC19" i="41"/>
  <c r="AC56" i="41"/>
  <c r="AC62" i="41"/>
  <c r="AC23" i="41"/>
  <c r="AC57" i="41"/>
  <c r="AC40" i="41"/>
  <c r="AC34" i="41"/>
  <c r="AC30" i="41"/>
  <c r="AC44" i="41"/>
  <c r="AC53" i="41"/>
  <c r="AC41" i="41"/>
  <c r="AC52" i="41"/>
  <c r="AC59" i="41"/>
  <c r="AC9" i="41"/>
  <c r="AC12" i="41"/>
  <c r="AC28" i="41"/>
  <c r="AC24" i="41"/>
  <c r="AC17" i="41"/>
  <c r="AC38" i="41"/>
  <c r="AC11" i="41"/>
  <c r="AC14" i="41"/>
  <c r="AC32" i="41"/>
  <c r="AC61" i="41"/>
  <c r="AC31" i="41"/>
  <c r="AC20" i="41"/>
  <c r="AC8" i="41"/>
  <c r="AC65" i="41" l="1"/>
  <c r="E33" i="93"/>
  <c r="E13" i="93"/>
  <c r="E25" i="93"/>
  <c r="E21" i="93"/>
  <c r="E55" i="93"/>
  <c r="E22" i="93"/>
  <c r="E10" i="93"/>
  <c r="E15" i="93"/>
  <c r="E42" i="93"/>
  <c r="E36" i="93"/>
  <c r="E51" i="93"/>
  <c r="E7" i="93"/>
  <c r="E37" i="93"/>
  <c r="E58" i="93"/>
  <c r="E27" i="93"/>
  <c r="E47" i="93"/>
  <c r="E46" i="93"/>
  <c r="E16" i="93"/>
  <c r="E45" i="93"/>
  <c r="E19" i="93"/>
  <c r="E35" i="93"/>
  <c r="E43" i="93"/>
  <c r="E63" i="93"/>
  <c r="E30" i="93"/>
  <c r="E49" i="93"/>
  <c r="E44" i="93"/>
  <c r="E54" i="93"/>
  <c r="E23" i="93"/>
  <c r="E29" i="93"/>
  <c r="E39" i="93"/>
  <c r="E64" i="93"/>
  <c r="E62" i="93"/>
  <c r="E50" i="93"/>
  <c r="E60" i="93"/>
  <c r="E56" i="93"/>
  <c r="E26" i="93"/>
  <c r="E34" i="93"/>
  <c r="E48" i="93"/>
  <c r="E57" i="93"/>
  <c r="E18" i="93"/>
  <c r="E40" i="93"/>
  <c r="E41" i="93"/>
  <c r="E53" i="93"/>
  <c r="E59" i="93"/>
  <c r="E17" i="93"/>
  <c r="E61" i="93"/>
  <c r="E12" i="93"/>
  <c r="E14" i="93"/>
  <c r="E32" i="93"/>
  <c r="E31" i="93"/>
  <c r="E52" i="93"/>
  <c r="E28" i="93"/>
  <c r="E38" i="93"/>
  <c r="E20" i="93"/>
  <c r="E11" i="93"/>
  <c r="E9" i="93"/>
  <c r="E24" i="93"/>
  <c r="E8" i="93"/>
  <c r="E65" i="93" l="1"/>
</calcChain>
</file>

<file path=xl/comments1.xml><?xml version="1.0" encoding="utf-8"?>
<comments xmlns="http://schemas.openxmlformats.org/spreadsheetml/2006/main">
  <authors>
    <author>tc={ADAEA5D8-8DE2-4242-B265-07B412785CEF}</author>
  </authors>
  <commentList>
    <comment ref="I5"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Added to account for Lassen and Tehama, which do not have 1 FTE values.</t>
        </r>
      </text>
    </comment>
  </commentList>
</comments>
</file>

<file path=xl/sharedStrings.xml><?xml version="1.0" encoding="utf-8"?>
<sst xmlns="http://schemas.openxmlformats.org/spreadsheetml/2006/main" count="980" uniqueCount="251">
  <si>
    <t>Total</t>
  </si>
  <si>
    <t>B</t>
  </si>
  <si>
    <t>D</t>
  </si>
  <si>
    <t>E</t>
  </si>
  <si>
    <t>Alpine</t>
  </si>
  <si>
    <t>Amador</t>
  </si>
  <si>
    <t>Calaveras</t>
  </si>
  <si>
    <t>Colusa</t>
  </si>
  <si>
    <t>Del Norte</t>
  </si>
  <si>
    <t>Glenn</t>
  </si>
  <si>
    <t>Inyo</t>
  </si>
  <si>
    <t>Lassen</t>
  </si>
  <si>
    <t>Mariposa</t>
  </si>
  <si>
    <t>Modoc</t>
  </si>
  <si>
    <t>Mono</t>
  </si>
  <si>
    <t>Plumas</t>
  </si>
  <si>
    <t>San Benito</t>
  </si>
  <si>
    <t>Sierra</t>
  </si>
  <si>
    <t>Trinity</t>
  </si>
  <si>
    <t>Butte</t>
  </si>
  <si>
    <t>El Dorado</t>
  </si>
  <si>
    <t>Humboldt</t>
  </si>
  <si>
    <t>Imperial</t>
  </si>
  <si>
    <t>Kings</t>
  </si>
  <si>
    <t>Lake</t>
  </si>
  <si>
    <t>Madera</t>
  </si>
  <si>
    <t>Marin</t>
  </si>
  <si>
    <t>Mendocino</t>
  </si>
  <si>
    <t>Merced</t>
  </si>
  <si>
    <t>Napa</t>
  </si>
  <si>
    <t>Nevada</t>
  </si>
  <si>
    <t>Placer</t>
  </si>
  <si>
    <t>San Luis Obispo</t>
  </si>
  <si>
    <t>Santa Cruz</t>
  </si>
  <si>
    <t>Shasta</t>
  </si>
  <si>
    <t>Siskiyou</t>
  </si>
  <si>
    <t>Sutter</t>
  </si>
  <si>
    <t>Tehama</t>
  </si>
  <si>
    <t>Tuolumne</t>
  </si>
  <si>
    <t>Yolo</t>
  </si>
  <si>
    <t>Yuba</t>
  </si>
  <si>
    <t>Contra Costa</t>
  </si>
  <si>
    <t>Fresno</t>
  </si>
  <si>
    <t>Kern</t>
  </si>
  <si>
    <t>Monterey</t>
  </si>
  <si>
    <t>San Joaquin</t>
  </si>
  <si>
    <t>San Mateo</t>
  </si>
  <si>
    <t>Santa Barbara</t>
  </si>
  <si>
    <t>Solano</t>
  </si>
  <si>
    <t>Sonoma</t>
  </si>
  <si>
    <t>Stanislaus</t>
  </si>
  <si>
    <t>Tulare</t>
  </si>
  <si>
    <t>Ventura</t>
  </si>
  <si>
    <t>Alameda</t>
  </si>
  <si>
    <t>Los Angeles</t>
  </si>
  <si>
    <t>Orange</t>
  </si>
  <si>
    <t>Riverside</t>
  </si>
  <si>
    <t>Sacramento</t>
  </si>
  <si>
    <t>San Bernardino</t>
  </si>
  <si>
    <t>San Diego</t>
  </si>
  <si>
    <t>San Francisco</t>
  </si>
  <si>
    <t>Santa Clara</t>
  </si>
  <si>
    <t>Statewide</t>
  </si>
  <si>
    <t>Court</t>
  </si>
  <si>
    <t>NOTES:</t>
  </si>
  <si>
    <t>A</t>
  </si>
  <si>
    <t>C</t>
  </si>
  <si>
    <t>Total Benefit Need Based on RAS FTE Need</t>
  </si>
  <si>
    <t>Cluster</t>
  </si>
  <si>
    <t>Final FTE Dollar Factor</t>
  </si>
  <si>
    <t>State Employment More than 50% of Govt Workforce?</t>
  </si>
  <si>
    <t>% State</t>
  </si>
  <si>
    <t>% Local</t>
  </si>
  <si>
    <t>County</t>
  </si>
  <si>
    <t>WAFM Need</t>
  </si>
  <si>
    <t>Graduated Funding Floor That Would Apply</t>
  </si>
  <si>
    <t>M</t>
  </si>
  <si>
    <t>WAFM Post BLS FTE Allotment: Median</t>
  </si>
  <si>
    <t>Smaller of Floor vs. PY plus 10%</t>
  </si>
  <si>
    <t>Larger of Actual Cap vs. CY</t>
  </si>
  <si>
    <t>Average of Courts' Average RAS-Related Salaries</t>
  </si>
  <si>
    <t>Median</t>
  </si>
  <si>
    <t>Share of reduction</t>
  </si>
  <si>
    <t>F</t>
  </si>
  <si>
    <t>H</t>
  </si>
  <si>
    <t>I</t>
  </si>
  <si>
    <t>L</t>
  </si>
  <si>
    <t>Program 10 (Operations) Staff Need</t>
  </si>
  <si>
    <t>Program 90 (Administration) Staff Need</t>
  </si>
  <si>
    <t>Infractions</t>
  </si>
  <si>
    <t>Criminal</t>
  </si>
  <si>
    <t>Civil</t>
  </si>
  <si>
    <t>Juvenile</t>
  </si>
  <si>
    <t xml:space="preserve">F </t>
  </si>
  <si>
    <t>Allocation Reduction Base</t>
  </si>
  <si>
    <t>Reduction Allocation</t>
  </si>
  <si>
    <t>Determine Adjusted Allocation if Floor Applies</t>
  </si>
  <si>
    <t>% of Statewide Need</t>
  </si>
  <si>
    <t>Eligible for FTE Floor (&lt;50)?</t>
  </si>
  <si>
    <t>Change from Funding Floor Adjustments</t>
  </si>
  <si>
    <t>Average</t>
  </si>
  <si>
    <t>Previous Year % of Need</t>
  </si>
  <si>
    <t>Difference Between % of Need and State Avg.</t>
  </si>
  <si>
    <t>Current  Year % of Need</t>
  </si>
  <si>
    <t>Difference in Funding (Year to Year)</t>
  </si>
  <si>
    <t>Difference in Need (Year to Year)</t>
  </si>
  <si>
    <t>Percent Difference</t>
  </si>
  <si>
    <t>Floor Allocation Adjustment*</t>
  </si>
  <si>
    <t xml:space="preserve">* The floor allocation adjustment formula was changed to add a clause that brought the two absolute floor courts (Alpine and Sierra) back to the floor if they were to start out above the floor amount. </t>
  </si>
  <si>
    <t>GG</t>
  </si>
  <si>
    <t>G</t>
  </si>
  <si>
    <t>J</t>
  </si>
  <si>
    <t>K</t>
  </si>
  <si>
    <t>N</t>
  </si>
  <si>
    <t>TAB</t>
  </si>
  <si>
    <t>RAS</t>
  </si>
  <si>
    <t>AVG RAS Salary</t>
  </si>
  <si>
    <t>* Much of the ratios come from the 7A and as discussed there were two versions of the 7A (the "Colin" version that Suzanne used and the "Joe" version used for RAS). WAFM has been recalculated using the RAS version as it seems more accurate</t>
  </si>
  <si>
    <t xml:space="preserve">FTE Allotment Factor </t>
  </si>
  <si>
    <t xml:space="preserve">This comes from the 7A. Total Filled FTE and Total Salaries for specified positions. </t>
  </si>
  <si>
    <t>BLS</t>
  </si>
  <si>
    <t>This uses the latest 3-year average (local average is used unless State employees are over 50% of government workforce - in that case, the State/Local Average is used)</t>
  </si>
  <si>
    <r>
      <t xml:space="preserve">To calculate this value, the BLS is multiplied by the </t>
    </r>
    <r>
      <rPr>
        <b/>
        <i/>
        <sz val="11"/>
        <color theme="1"/>
        <rFont val="Calibri"/>
        <family val="2"/>
        <scheme val="minor"/>
      </rPr>
      <t xml:space="preserve">Average RAS Salary </t>
    </r>
    <r>
      <rPr>
        <sz val="11"/>
        <color theme="1"/>
        <rFont val="Calibri"/>
        <family val="2"/>
        <scheme val="minor"/>
      </rPr>
      <t xml:space="preserve">(average of each court's average salary per FTE) to get an </t>
    </r>
    <r>
      <rPr>
        <b/>
        <i/>
        <sz val="11"/>
        <color theme="1"/>
        <rFont val="Calibri"/>
        <family val="2"/>
        <scheme val="minor"/>
      </rPr>
      <t>FTE Dollar Factor Applied</t>
    </r>
    <r>
      <rPr>
        <sz val="11"/>
        <color theme="1"/>
        <rFont val="Calibri"/>
        <family val="2"/>
        <scheme val="minor"/>
      </rPr>
      <t xml:space="preserve">. If the court has under 50 FTE and their FTE Dollar Factor Applied is less than the median value for all courts under 50 FTE, then the aforementioned median (for under 50 FTE courts) is used. This is refered to as the </t>
    </r>
    <r>
      <rPr>
        <b/>
        <i/>
        <sz val="11"/>
        <color theme="1"/>
        <rFont val="Calibri"/>
        <family val="2"/>
        <scheme val="minor"/>
      </rPr>
      <t>Post-BLS FTE Allotment Median</t>
    </r>
  </si>
  <si>
    <t>Program 10</t>
  </si>
  <si>
    <t>Program 90</t>
  </si>
  <si>
    <t>CEO Salary</t>
  </si>
  <si>
    <t>OE&amp;E by Cluster</t>
  </si>
  <si>
    <t>Floor Adjustment</t>
  </si>
  <si>
    <t>Previous Year</t>
  </si>
  <si>
    <t>Current Year</t>
  </si>
  <si>
    <r>
      <t xml:space="preserve">Summed from the 7A: Total Filled FTE, Total Salary, Salary Driven Benefits and Non-Salary Driven Benefits. Calculates percent of salary driven benefits and actual non-salary driven benefits for the </t>
    </r>
    <r>
      <rPr>
        <b/>
        <i/>
        <sz val="11"/>
        <color theme="1"/>
        <rFont val="Calibri"/>
        <family val="2"/>
        <scheme val="minor"/>
      </rPr>
      <t>WAFM Need</t>
    </r>
    <r>
      <rPr>
        <sz val="11"/>
        <color theme="1"/>
        <rFont val="Calibri"/>
        <family val="2"/>
        <scheme val="minor"/>
      </rPr>
      <t xml:space="preserve"> Tab</t>
    </r>
  </si>
  <si>
    <r>
      <t xml:space="preserve">Taken from the 7A: Filled FTE and Total Salary. Used in the </t>
    </r>
    <r>
      <rPr>
        <b/>
        <i/>
        <sz val="11"/>
        <color theme="1"/>
        <rFont val="Calibri"/>
        <family val="2"/>
        <scheme val="minor"/>
      </rPr>
      <t xml:space="preserve">CEO Salary </t>
    </r>
    <r>
      <rPr>
        <sz val="11"/>
        <color theme="1"/>
        <rFont val="Calibri"/>
        <family val="2"/>
        <scheme val="minor"/>
      </rPr>
      <t>Tab. Cluster average calculated and used in the</t>
    </r>
    <r>
      <rPr>
        <b/>
        <i/>
        <sz val="11"/>
        <color theme="1"/>
        <rFont val="Calibri"/>
        <family val="2"/>
        <scheme val="minor"/>
      </rPr>
      <t xml:space="preserve"> WAFM Need </t>
    </r>
    <r>
      <rPr>
        <sz val="11"/>
        <color theme="1"/>
        <rFont val="Calibri"/>
        <family val="2"/>
        <scheme val="minor"/>
      </rPr>
      <t xml:space="preserve">Tab </t>
    </r>
  </si>
  <si>
    <r>
      <t xml:space="preserve">Calculated outside of this worksheet and copy/pasted for use in the </t>
    </r>
    <r>
      <rPr>
        <b/>
        <i/>
        <sz val="11"/>
        <color theme="1"/>
        <rFont val="Calibri"/>
        <family val="2"/>
        <scheme val="minor"/>
      </rPr>
      <t>WAFM Need</t>
    </r>
    <r>
      <rPr>
        <sz val="11"/>
        <color theme="1"/>
        <rFont val="Calibri"/>
        <family val="2"/>
        <scheme val="minor"/>
      </rPr>
      <t xml:space="preserve"> Tab</t>
    </r>
  </si>
  <si>
    <t>Floors</t>
  </si>
  <si>
    <r>
      <t xml:space="preserve">This is a reference document used in the </t>
    </r>
    <r>
      <rPr>
        <b/>
        <i/>
        <sz val="11"/>
        <color theme="1"/>
        <rFont val="Calibri"/>
        <family val="2"/>
        <scheme val="minor"/>
      </rPr>
      <t>Floor Adjustment</t>
    </r>
    <r>
      <rPr>
        <sz val="11"/>
        <color theme="1"/>
        <rFont val="Calibri"/>
        <family val="2"/>
        <scheme val="minor"/>
      </rPr>
      <t xml:space="preserve"> Tab</t>
    </r>
  </si>
  <si>
    <t xml:space="preserve">Copy/Paste Previous Year's Data </t>
  </si>
  <si>
    <r>
      <rPr>
        <b/>
        <i/>
        <sz val="11"/>
        <color theme="1"/>
        <rFont val="Calibri"/>
        <family val="2"/>
        <scheme val="minor"/>
      </rPr>
      <t>Total 2018-19 WAFM-Related Allocation (Prior to implementing funding floor)</t>
    </r>
    <r>
      <rPr>
        <sz val="11"/>
        <color theme="1"/>
        <rFont val="Calibri"/>
        <family val="2"/>
        <scheme val="minor"/>
      </rPr>
      <t xml:space="preserve"> is pasted from the WAFM Base worksheet and used in the Floor Adjustment Tab. The WAFM Need comes from the WAFM Need Tab.</t>
    </r>
  </si>
  <si>
    <t>RAS 
Total 
FTE Need</t>
  </si>
  <si>
    <t>FTE Need Multiplied by FTE Allotment Factor, 
Prior to Bureau of Labor Statistics (BLS) Adjustment</t>
  </si>
  <si>
    <t>RAS FTE Need 
Multiplied by 
Average RAS 
Salary</t>
  </si>
  <si>
    <t xml:space="preserve">CEO w/ BLS 
Adjustment </t>
  </si>
  <si>
    <t>O</t>
  </si>
  <si>
    <t>P</t>
  </si>
  <si>
    <t>Q</t>
  </si>
  <si>
    <t>R</t>
  </si>
  <si>
    <t>S</t>
  </si>
  <si>
    <t>U</t>
  </si>
  <si>
    <t>Adjust Base Dollars for 
Local Cost of Labor; Apply 
FTE Dollar Factor</t>
  </si>
  <si>
    <t>Pre-Benefits 
Adjusted 
Base</t>
  </si>
  <si>
    <t>Projected Benefits Expenses 
(Salary-Driven Benefits Based on Adjusted Base)</t>
  </si>
  <si>
    <t>Average % of
 Salary-Driven
Benefits 
Program 10</t>
  </si>
  <si>
    <t>Average Actual
Non Salary-
Driven Benefits
per FTE 
Program 10</t>
  </si>
  <si>
    <t>Average % of Salary-Driven Benefits 
Program 90</t>
  </si>
  <si>
    <t>Average Actual
Non Salary-
Driven Benefits
per FTE 
Program 90</t>
  </si>
  <si>
    <t>Benefits Needed 
for RAS FTE Need
Program 10</t>
  </si>
  <si>
    <t>Benefits Needed 
for RAS FTE Need
Program 90</t>
  </si>
  <si>
    <t>T</t>
  </si>
  <si>
    <t>Total 
Program 10 
Need 
(A thru F)</t>
  </si>
  <si>
    <r>
      <t xml:space="preserve">RAS 
FTE Need
Program 10
</t>
    </r>
    <r>
      <rPr>
        <b/>
        <sz val="10"/>
        <color theme="1"/>
        <rFont val="Calibri"/>
        <family val="2"/>
        <scheme val="minor"/>
      </rPr>
      <t>(Operations)</t>
    </r>
  </si>
  <si>
    <r>
      <t xml:space="preserve">RAS 
FTE Need
Program 90
</t>
    </r>
    <r>
      <rPr>
        <b/>
        <sz val="10"/>
        <color theme="1"/>
        <rFont val="Calibri"/>
        <family val="2"/>
        <scheme val="minor"/>
      </rPr>
      <t>(Administration)</t>
    </r>
  </si>
  <si>
    <r>
      <t>Non-RAS FTE (for Program 90 Need Calculation)</t>
    </r>
    <r>
      <rPr>
        <b/>
        <sz val="11"/>
        <color theme="1"/>
        <rFont val="Calibri"/>
        <family val="2"/>
      </rPr>
      <t>²</t>
    </r>
  </si>
  <si>
    <t>Family 
Law</t>
  </si>
  <si>
    <t>Court Interpreter 
FTE</t>
  </si>
  <si>
    <t>Manager /  Supervisor 
Ratio 
(by Cluster)</t>
  </si>
  <si>
    <t>Manager / Supervisor Need 
(G + GG ) / H</t>
  </si>
  <si>
    <t>Total 
Program 10 Need, 
Rounded up 
(G + I)</t>
  </si>
  <si>
    <t>Program 90 Need, Rounded up 
(J + K) / L</t>
  </si>
  <si>
    <t>Program 90 Ratio 
(by Cluster)</t>
  </si>
  <si>
    <r>
      <t>Average Salary for RAS-Related FTEs</t>
    </r>
    <r>
      <rPr>
        <b/>
        <sz val="11"/>
        <color theme="1"/>
        <rFont val="Calibri"/>
        <family val="2"/>
      </rPr>
      <t>²</t>
    </r>
  </si>
  <si>
    <t>² Salaries and FTEs exclude those related to non-court-operations Program, Element, Component, and Task (PECTs), Subordinate Judicial Officers, Court Executive Officers, marshals, court attendants, interpreters and interpreter coordinators, and vacant positions.</t>
  </si>
  <si>
    <r>
      <t>Average Resource Assessment Study (RAS) Salary</t>
    </r>
    <r>
      <rPr>
        <b/>
        <sz val="14"/>
        <color theme="1"/>
        <rFont val="Calibri"/>
        <family val="2"/>
      </rPr>
      <t>¹</t>
    </r>
  </si>
  <si>
    <t>Totals</t>
  </si>
  <si>
    <t>Total Filled 
Full-Time Equivalents (FTEs)</t>
  </si>
  <si>
    <t>Total 
Salaries</t>
  </si>
  <si>
    <t>Bureau of Labor Statistics (BLS)¹</t>
  </si>
  <si>
    <t>3-Year Average 
BLS Factor 
(50% Workforce Threshold)</t>
  </si>
  <si>
    <t>Probate / 
Mental
Health</t>
  </si>
  <si>
    <t>Three-Year Average BLS</t>
  </si>
  <si>
    <t>Local (92)</t>
  </si>
  <si>
    <t>State (92)</t>
  </si>
  <si>
    <t>State &amp; 
Local 92</t>
  </si>
  <si>
    <t>Full-Time Equivalent (FTE) Allotment Factor</t>
  </si>
  <si>
    <t>Sum of Total 
Annual Salary</t>
  </si>
  <si>
    <t>Sum of Full-Time Equivalent (FTE) 
Position</t>
  </si>
  <si>
    <t>WAFM Calculated 
Need</t>
  </si>
  <si>
    <t>Workload-based Allocation and Funding Methodology (WAFM) Floors</t>
  </si>
  <si>
    <t>Determination of Workload-based Funding Methodology (WAFM) Funding Floor</t>
  </si>
  <si>
    <t>Current Adjusted Allocation if No Floor Applied</t>
  </si>
  <si>
    <t>Apply Floor? Yes, if 
D &gt; E</t>
  </si>
  <si>
    <t>Adjusted Allocation if No Floor Applied</t>
  </si>
  <si>
    <r>
      <t>¹</t>
    </r>
    <r>
      <rPr>
        <i/>
        <sz val="9.35"/>
        <color theme="1"/>
        <rFont val="Calibri"/>
        <family val="2"/>
      </rPr>
      <t xml:space="preserve"> </t>
    </r>
    <r>
      <rPr>
        <i/>
        <sz val="11"/>
        <color theme="1"/>
        <rFont val="Calibri"/>
        <family val="2"/>
      </rPr>
      <t>For the graduated floor, the lower of the floor or prior-year allocation plus 10%.</t>
    </r>
  </si>
  <si>
    <r>
      <t>Funding 
Floor</t>
    </r>
    <r>
      <rPr>
        <b/>
        <sz val="11"/>
        <color theme="1"/>
        <rFont val="Calibri"/>
        <family val="2"/>
      </rPr>
      <t>¹</t>
    </r>
    <r>
      <rPr>
        <b/>
        <sz val="11"/>
        <color theme="1"/>
        <rFont val="Calibri"/>
        <family val="2"/>
        <scheme val="minor"/>
      </rPr>
      <t xml:space="preserve"> </t>
    </r>
  </si>
  <si>
    <t>Prior Year Plus 
10%</t>
  </si>
  <si>
    <t>OE&amp;E / Full-Time Equivalent 
(FTE) Weighted Mean</t>
  </si>
  <si>
    <t>Operating Expenditures and Equipment (OE&amp;E) by Cluster¹</t>
  </si>
  <si>
    <t>Court Executive Officer Salary</t>
  </si>
  <si>
    <t>Sum of Total 
Salary-Driven 
Benefits</t>
  </si>
  <si>
    <t>Sum of Total 
Non Salary-Driven Benefits</t>
  </si>
  <si>
    <t>Average % of 
Salary-Driven 
Benefits</t>
  </si>
  <si>
    <t xml:space="preserve">Average Actual 
Non Salary-Driven Benefits per FTE </t>
  </si>
  <si>
    <r>
      <t xml:space="preserve">Position 
</t>
    </r>
    <r>
      <rPr>
        <b/>
        <sz val="9"/>
        <color theme="1"/>
        <rFont val="Calibri"/>
        <family val="2"/>
        <scheme val="minor"/>
      </rPr>
      <t>(Full-Time Equivalent)</t>
    </r>
  </si>
  <si>
    <t>Bureau of Labor Statistics (BLS) Factor</t>
  </si>
  <si>
    <t>FTE 
Need</t>
  </si>
  <si>
    <t>April 26, 2019</t>
  </si>
  <si>
    <t>April, 26, 2019</t>
  </si>
  <si>
    <t>Courts whose workload need falls below 800,000 shall be allocated the base floor of 800,000</t>
  </si>
  <si>
    <t>Total WF Funding Need
(J + Q + R - S)</t>
  </si>
  <si>
    <t xml:space="preserve">Proportion of Total WF Estimated Funding Need </t>
  </si>
  <si>
    <t>COURT</t>
  </si>
  <si>
    <t xml:space="preserve">CSC </t>
  </si>
  <si>
    <t>FLF</t>
  </si>
  <si>
    <t>TOTAL</t>
  </si>
  <si>
    <t>Court Number</t>
  </si>
  <si>
    <r>
      <t>Resource Assessment Study (RAS) Model Full-Time Equivalent 
(FTE) Need</t>
    </r>
    <r>
      <rPr>
        <b/>
        <vertAlign val="superscript"/>
        <sz val="11"/>
        <color theme="1"/>
        <rFont val="Calibri"/>
        <family val="2"/>
        <scheme val="minor"/>
      </rPr>
      <t>1,2</t>
    </r>
  </si>
  <si>
    <r>
      <t>RAS FTE Need 
Multiplied by 
BLS
(Avg. Salary * BLS)</t>
    </r>
    <r>
      <rPr>
        <b/>
        <vertAlign val="superscript"/>
        <sz val="11"/>
        <color theme="1"/>
        <rFont val="Calibri"/>
        <family val="2"/>
        <scheme val="minor"/>
      </rPr>
      <t>3</t>
    </r>
  </si>
  <si>
    <r>
      <t>RAS FTE Need 
Multiplied by 
Allotment Factor w/
&lt; 50 FTE &amp; Median Adjustments</t>
    </r>
    <r>
      <rPr>
        <b/>
        <vertAlign val="superscript"/>
        <sz val="10"/>
        <color theme="1"/>
        <rFont val="Calibri"/>
        <family val="2"/>
      </rPr>
      <t>3</t>
    </r>
  </si>
  <si>
    <r>
      <t>Court Executive 
Officer (CEO) 
Cluster Average 
Salary</t>
    </r>
    <r>
      <rPr>
        <b/>
        <vertAlign val="superscript"/>
        <sz val="10"/>
        <rFont val="Calibri"/>
        <family val="2"/>
        <scheme val="minor"/>
      </rPr>
      <t>4</t>
    </r>
  </si>
  <si>
    <r>
      <t>BLS 
Factor</t>
    </r>
    <r>
      <rPr>
        <b/>
        <vertAlign val="superscript"/>
        <sz val="11"/>
        <color theme="1"/>
        <rFont val="Calibri"/>
        <family val="2"/>
        <scheme val="minor"/>
      </rPr>
      <t>5</t>
    </r>
  </si>
  <si>
    <r>
      <t>Average Salary-Driven Benefits as % of Salary and 
Average Non Salary-Driven Benefits Per FTE</t>
    </r>
    <r>
      <rPr>
        <b/>
        <vertAlign val="superscript"/>
        <sz val="11"/>
        <rFont val="Calibri"/>
        <family val="2"/>
        <scheme val="minor"/>
      </rPr>
      <t>6</t>
    </r>
  </si>
  <si>
    <r>
      <t xml:space="preserve">Estimated OE&amp;E Needed; 
Excludes funding 
for </t>
    </r>
    <r>
      <rPr>
        <b/>
        <i/>
        <sz val="11"/>
        <color theme="0"/>
        <rFont val="Calibri"/>
        <family val="2"/>
        <scheme val="minor"/>
      </rPr>
      <t>operations</t>
    </r>
    <r>
      <rPr>
        <b/>
        <sz val="11"/>
        <color theme="0"/>
        <rFont val="Calibri"/>
        <family val="2"/>
        <scheme val="minor"/>
      </rPr>
      <t xml:space="preserve"> contracts</t>
    </r>
    <r>
      <rPr>
        <b/>
        <vertAlign val="superscript"/>
        <sz val="11"/>
        <color theme="0"/>
        <rFont val="Calibri"/>
        <family val="2"/>
      </rPr>
      <t>7</t>
    </r>
  </si>
  <si>
    <r>
      <t>Remove AB 1058 Staff/Family Law Facilitator Costs</t>
    </r>
    <r>
      <rPr>
        <b/>
        <vertAlign val="superscript"/>
        <sz val="11"/>
        <color theme="0"/>
        <rFont val="Calibri"/>
        <family val="2"/>
        <scheme val="minor"/>
      </rPr>
      <t>8</t>
    </r>
  </si>
  <si>
    <t>2022-23 Workload Formula</t>
  </si>
  <si>
    <r>
      <t xml:space="preserve">¹Estimated need based on three-year average filings data from </t>
    </r>
    <r>
      <rPr>
        <i/>
        <sz val="11"/>
        <rFont val="Calibri"/>
        <family val="2"/>
        <scheme val="minor"/>
      </rPr>
      <t>2018-2019 through 2020-21.</t>
    </r>
    <r>
      <rPr>
        <i/>
        <sz val="11"/>
        <color theme="1"/>
        <rFont val="Calibri"/>
        <family val="2"/>
        <scheme val="minor"/>
      </rPr>
      <t xml:space="preserve"> </t>
    </r>
  </si>
  <si>
    <r>
      <rPr>
        <i/>
        <vertAlign val="superscript"/>
        <sz val="11"/>
        <color theme="1"/>
        <rFont val="Calibri"/>
        <family val="2"/>
        <scheme val="minor"/>
      </rPr>
      <t>2</t>
    </r>
    <r>
      <rPr>
        <i/>
        <sz val="11"/>
        <color theme="1"/>
        <rFont val="Calibri"/>
        <family val="2"/>
        <scheme val="minor"/>
      </rPr>
      <t xml:space="preserve">On April 23rd, 2021, WAAC approved the use of an extrapolation method for FY 2019-20 filings that were impacted by the COVID-19 pandemic. FY 2020-21 filigs data were not adjusted. </t>
    </r>
  </si>
  <si>
    <r>
      <rPr>
        <i/>
        <vertAlign val="superscript"/>
        <sz val="11"/>
        <color theme="1"/>
        <rFont val="Calibri"/>
        <family val="2"/>
        <scheme val="minor"/>
      </rPr>
      <t>3</t>
    </r>
    <r>
      <rPr>
        <i/>
        <sz val="11"/>
        <color theme="1"/>
        <rFont val="Calibri"/>
        <family val="2"/>
        <scheme val="minor"/>
      </rPr>
      <t>Unadjusted base funding per RAS FTE, based on 2021-22 Schedule 7A; does not include collections staff, Subordinate Judicial Officers, CEO, security, or vacant positions. In January 2014, the Trial Court Budget Advisory Committee approved a dollar factor adjustment for courts with fewer than 50 FTE.</t>
    </r>
  </si>
  <si>
    <r>
      <rPr>
        <i/>
        <vertAlign val="superscript"/>
        <sz val="11"/>
        <color theme="1"/>
        <rFont val="Calibri"/>
        <family val="2"/>
        <scheme val="minor"/>
      </rPr>
      <t>4</t>
    </r>
    <r>
      <rPr>
        <i/>
        <sz val="11"/>
        <color theme="1"/>
        <rFont val="Calibri"/>
        <family val="2"/>
        <scheme val="minor"/>
      </rPr>
      <t>2021-22 data</t>
    </r>
  </si>
  <si>
    <r>
      <rPr>
        <i/>
        <vertAlign val="superscript"/>
        <sz val="11"/>
        <rFont val="Calibri"/>
        <family val="2"/>
        <scheme val="minor"/>
      </rPr>
      <t>5</t>
    </r>
    <r>
      <rPr>
        <i/>
        <sz val="11"/>
        <rFont val="Calibri"/>
        <family val="2"/>
        <scheme val="minor"/>
      </rPr>
      <t>BLS Cost of Labor adjustment based on Quarterly Census of Wages &amp; Employment, three-year average from 2018 through 2020. Salaries of Local Government used for comparison based on Public Administration (North American Industrial Classification System, 92) unless proportion of state government workers in total employment exceeds 50% in which case  three-year average of local and state salaries for Public Administration is used for comparison.</t>
    </r>
  </si>
  <si>
    <r>
      <rPr>
        <i/>
        <vertAlign val="superscript"/>
        <sz val="11"/>
        <color theme="1"/>
        <rFont val="Calibri"/>
        <family val="2"/>
        <scheme val="minor"/>
      </rPr>
      <t>6</t>
    </r>
    <r>
      <rPr>
        <i/>
        <sz val="11"/>
        <color theme="1"/>
        <rFont val="Calibri"/>
        <family val="2"/>
        <scheme val="minor"/>
      </rPr>
      <t>From 2021-22 Schedule 7A</t>
    </r>
  </si>
  <si>
    <r>
      <rPr>
        <i/>
        <vertAlign val="superscript"/>
        <sz val="11"/>
        <color theme="1"/>
        <rFont val="Calibri"/>
        <family val="2"/>
        <scheme val="minor"/>
      </rPr>
      <t>7</t>
    </r>
    <r>
      <rPr>
        <i/>
        <sz val="11"/>
        <color theme="1"/>
        <rFont val="Calibri"/>
        <family val="2"/>
        <scheme val="minor"/>
      </rPr>
      <t>OE&amp;E Based on Cluster Average 
OE&amp;E / FTE (Cluster 1: $; Clusters 2-4: $) 
using 2018-19 to 2020-21 data</t>
    </r>
  </si>
  <si>
    <t>¹ 2018 - 2020 data.</t>
  </si>
  <si>
    <r>
      <t>2022-23 Resource Assessment Study (RAS) Full-Time Equivalent (FTE) Need</t>
    </r>
    <r>
      <rPr>
        <b/>
        <sz val="14"/>
        <color theme="1"/>
        <rFont val="Calibri"/>
        <family val="2"/>
      </rPr>
      <t>¹</t>
    </r>
  </si>
  <si>
    <r>
      <rPr>
        <sz val="11"/>
        <color theme="1"/>
        <rFont val="Calibri"/>
        <family val="2"/>
      </rPr>
      <t>²</t>
    </r>
    <r>
      <rPr>
        <i/>
        <sz val="9.35"/>
        <color theme="1"/>
        <rFont val="Calibri"/>
        <family val="2"/>
      </rPr>
      <t xml:space="preserve"> </t>
    </r>
    <r>
      <rPr>
        <i/>
        <sz val="11"/>
        <color theme="1"/>
        <rFont val="Calibri"/>
        <family val="2"/>
        <scheme val="minor"/>
      </rPr>
      <t>Reported on 2021-22 Schedule 7A; non-RAS staff include categories such as Subordinate Judicial Officers, Enhanced Collections Staff, and Interpreters.</t>
    </r>
  </si>
  <si>
    <t xml:space="preserve">¹ FTE Work Year Value = 1,642.5 hours </t>
  </si>
  <si>
    <t>¹ Updated three year average (2018-19 to 2020-21); changes to GL, PECT and Fund inclusion/exclusion approved by FMS have been incorporated in this OEE calculation.</t>
  </si>
  <si>
    <t>2021-22</t>
  </si>
  <si>
    <t>Updated April 7, 2022</t>
  </si>
  <si>
    <t>Average, Using FTE</t>
  </si>
  <si>
    <t>Total RAS Need 
(J + M)</t>
  </si>
  <si>
    <t>no</t>
  </si>
  <si>
    <t>yes</t>
  </si>
  <si>
    <t>¹ Using 2021-22 data.</t>
  </si>
  <si>
    <t>Updated April 12, 2022</t>
  </si>
  <si>
    <t>FY 20/21 AB 1058 Costs</t>
  </si>
  <si>
    <t>FY20/21 AB 1058 Costs</t>
  </si>
  <si>
    <r>
      <rPr>
        <vertAlign val="superscript"/>
        <sz val="11"/>
        <color theme="1"/>
        <rFont val="Calibri"/>
        <family val="2"/>
        <scheme val="minor"/>
      </rPr>
      <t>8</t>
    </r>
    <r>
      <rPr>
        <sz val="11"/>
        <color theme="1"/>
        <rFont val="Calibri"/>
        <family val="2"/>
        <scheme val="minor"/>
      </rPr>
      <t>2020-21 data</t>
    </r>
  </si>
  <si>
    <r>
      <rPr>
        <vertAlign val="superscript"/>
        <sz val="11"/>
        <rFont val="Calibri"/>
        <family val="2"/>
        <scheme val="minor"/>
      </rPr>
      <t>2</t>
    </r>
    <r>
      <rPr>
        <sz val="11"/>
        <rFont val="Calibri"/>
        <family val="2"/>
        <scheme val="minor"/>
      </rPr>
      <t>Current BLS data is not available for Sierra. The most recent BLS factor from FY 16-17 is used.</t>
    </r>
  </si>
  <si>
    <t>Previous Year Need (2021-22)</t>
  </si>
  <si>
    <t xml:space="preserve">Previous Year Allocation (2021-22) </t>
  </si>
  <si>
    <t xml:space="preserve">Current Year Allocation (2022-23) </t>
  </si>
  <si>
    <t>Current Year Need (2022-23)</t>
  </si>
  <si>
    <t xml:space="preserve">This is currently calculated by Nick and Copy/Pasted into this sheet. There are no calculations or references to other sheets.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</si>
</sst>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_(&quot;$&quot;* #,##0_);_(&quot;$&quot;* \(#,##0\);_(&quot;$&quot;* &quot;-&quot;??_);_(@_)"/>
    <numFmt numFmtId="168" formatCode="_(* #,##0.0_);_(* \(#,##0.0\);_(* &quot;-&quot;??_);_(@_)"/>
    <numFmt numFmtId="169" formatCode="0.00000%"/>
    <numFmt numFmtId="170" formatCode="_(&quot;$&quot;#,##0.00_);_(&quot;$&quot;* \(#,##0.00\);_(&quot;$&quot;&quot;-&quot;??_);_(@_)"/>
    <numFmt numFmtId="171" formatCode="0.0,,,&quot;B&quot;"/>
  </numFmts>
  <fonts count="80" x14ac:knownFonts="1">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i/>
      <sz val="11"/>
      <color theme="1"/>
      <name val="Calibri"/>
      <family val="2"/>
      <scheme val="minor"/>
    </font>
    <font>
      <b/>
      <sz val="11"/>
      <color theme="1"/>
      <name val="Calibri"/>
      <family val="2"/>
      <scheme val="minor"/>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MS Sans Serif"/>
      <family val="2"/>
    </font>
    <font>
      <sz val="12"/>
      <color indexed="8"/>
      <name val="Times New Roman"/>
      <family val="2"/>
    </font>
    <font>
      <sz val="10"/>
      <color indexed="24"/>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8"/>
      <color indexed="56"/>
      <name val="Cambria"/>
      <family val="2"/>
    </font>
    <font>
      <b/>
      <sz val="11"/>
      <color indexed="8"/>
      <name val="Calibri"/>
      <family val="2"/>
    </font>
    <font>
      <sz val="11"/>
      <color indexed="10"/>
      <name val="Calibri"/>
      <family val="2"/>
    </font>
    <font>
      <b/>
      <sz val="12"/>
      <color theme="1"/>
      <name val="Calibri"/>
      <family val="2"/>
      <scheme val="minor"/>
    </font>
    <font>
      <sz val="11"/>
      <color theme="0"/>
      <name val="Calibri"/>
      <family val="2"/>
      <scheme val="minor"/>
    </font>
    <font>
      <sz val="11"/>
      <name val="Calibri"/>
      <family val="2"/>
      <scheme val="minor"/>
    </font>
    <font>
      <b/>
      <sz val="26"/>
      <color theme="1"/>
      <name val="Calibri"/>
      <family val="2"/>
      <scheme val="minor"/>
    </font>
    <font>
      <b/>
      <i/>
      <sz val="11"/>
      <color theme="1"/>
      <name val="Calibri"/>
      <family val="2"/>
      <scheme val="minor"/>
    </font>
    <font>
      <b/>
      <sz val="14"/>
      <color theme="1"/>
      <name val="Calibri"/>
      <family val="2"/>
      <scheme val="minor"/>
    </font>
    <font>
      <sz val="11"/>
      <color indexed="8"/>
      <name val="Calibri"/>
      <family val="2"/>
      <scheme val="minor"/>
    </font>
    <font>
      <b/>
      <sz val="11"/>
      <color indexed="8"/>
      <name val="Calibri"/>
      <family val="2"/>
      <scheme val="minor"/>
    </font>
    <font>
      <b/>
      <sz val="11"/>
      <name val="Calibri"/>
      <family val="2"/>
      <scheme val="minor"/>
    </font>
    <font>
      <b/>
      <sz val="14"/>
      <name val="Calibri"/>
      <family val="2"/>
      <scheme val="minor"/>
    </font>
    <font>
      <sz val="11"/>
      <name val="Calibri"/>
      <family val="2"/>
    </font>
    <font>
      <sz val="10"/>
      <color theme="1"/>
      <name val="Calibri"/>
      <family val="2"/>
      <scheme val="minor"/>
    </font>
    <font>
      <b/>
      <sz val="11"/>
      <color theme="1"/>
      <name val="Calibri"/>
      <family val="2"/>
    </font>
    <font>
      <b/>
      <sz val="11"/>
      <color theme="0"/>
      <name val="Calibri"/>
      <family val="2"/>
      <scheme val="minor"/>
    </font>
    <font>
      <sz val="11"/>
      <color rgb="FFFF0000"/>
      <name val="Calibri"/>
      <family val="2"/>
      <scheme val="minor"/>
    </font>
    <font>
      <b/>
      <sz val="10"/>
      <color theme="1"/>
      <name val="Calibri"/>
      <family val="2"/>
      <scheme val="minor"/>
    </font>
    <font>
      <sz val="11"/>
      <color theme="1"/>
      <name val="Calibri"/>
      <family val="2"/>
    </font>
    <font>
      <i/>
      <sz val="9.35"/>
      <color theme="1"/>
      <name val="Calibri"/>
      <family val="2"/>
    </font>
    <font>
      <i/>
      <sz val="11"/>
      <color theme="1"/>
      <name val="Calibri"/>
      <family val="2"/>
    </font>
    <font>
      <b/>
      <sz val="9"/>
      <color theme="1"/>
      <name val="Calibri"/>
      <family val="2"/>
      <scheme val="minor"/>
    </font>
    <font>
      <sz val="10"/>
      <color theme="0"/>
      <name val="Calibri"/>
      <family val="2"/>
      <scheme val="minor"/>
    </font>
    <font>
      <b/>
      <sz val="10"/>
      <name val="Calibri"/>
      <family val="2"/>
      <scheme val="minor"/>
    </font>
    <font>
      <b/>
      <i/>
      <sz val="11"/>
      <color theme="0"/>
      <name val="Calibri"/>
      <family val="2"/>
      <scheme val="minor"/>
    </font>
    <font>
      <b/>
      <sz val="14"/>
      <color theme="1"/>
      <name val="Calibri"/>
      <family val="2"/>
    </font>
    <font>
      <i/>
      <sz val="11"/>
      <name val="Calibri"/>
      <family val="2"/>
      <scheme val="minor"/>
    </font>
    <font>
      <i/>
      <sz val="11"/>
      <name val="Calibri"/>
      <family val="2"/>
    </font>
    <font>
      <sz val="11"/>
      <color theme="0" tint="-0.499984740745262"/>
      <name val="Calibri"/>
      <family val="2"/>
      <scheme val="minor"/>
    </font>
    <font>
      <b/>
      <sz val="11"/>
      <color theme="0" tint="-0.499984740745262"/>
      <name val="Calibri"/>
      <family val="2"/>
      <scheme val="minor"/>
    </font>
    <font>
      <b/>
      <sz val="12"/>
      <color theme="0"/>
      <name val="Calibri"/>
      <family val="2"/>
      <scheme val="minor"/>
    </font>
    <font>
      <sz val="11"/>
      <color theme="0" tint="-0.34998626667073579"/>
      <name val="Calibri"/>
      <family val="2"/>
      <scheme val="minor"/>
    </font>
    <font>
      <b/>
      <sz val="11"/>
      <color rgb="FFFF0000"/>
      <name val="Calibri"/>
      <family val="2"/>
      <scheme val="minor"/>
    </font>
    <font>
      <b/>
      <i/>
      <sz val="11"/>
      <color rgb="FFFF0000"/>
      <name val="Calibri"/>
      <family val="2"/>
      <scheme val="minor"/>
    </font>
    <font>
      <b/>
      <vertAlign val="superscript"/>
      <sz val="10"/>
      <name val="Calibri"/>
      <family val="2"/>
      <scheme val="minor"/>
    </font>
    <font>
      <i/>
      <vertAlign val="superscript"/>
      <sz val="11"/>
      <color theme="1"/>
      <name val="Calibri"/>
      <family val="2"/>
      <scheme val="minor"/>
    </font>
    <font>
      <b/>
      <vertAlign val="superscript"/>
      <sz val="11"/>
      <color theme="1"/>
      <name val="Calibri"/>
      <family val="2"/>
      <scheme val="minor"/>
    </font>
    <font>
      <b/>
      <vertAlign val="superscript"/>
      <sz val="11"/>
      <name val="Calibri"/>
      <family val="2"/>
      <scheme val="minor"/>
    </font>
    <font>
      <b/>
      <vertAlign val="superscript"/>
      <sz val="11"/>
      <color theme="0"/>
      <name val="Calibri"/>
      <family val="2"/>
    </font>
    <font>
      <i/>
      <sz val="12"/>
      <color theme="1"/>
      <name val="Calibri"/>
      <family val="2"/>
      <scheme val="minor"/>
    </font>
    <font>
      <b/>
      <vertAlign val="superscript"/>
      <sz val="11"/>
      <color theme="0"/>
      <name val="Calibri"/>
      <family val="2"/>
      <scheme val="minor"/>
    </font>
    <font>
      <vertAlign val="superscript"/>
      <sz val="11"/>
      <color theme="1"/>
      <name val="Calibri"/>
      <family val="2"/>
      <scheme val="minor"/>
    </font>
    <font>
      <i/>
      <vertAlign val="superscript"/>
      <sz val="11"/>
      <name val="Calibri"/>
      <family val="2"/>
      <scheme val="minor"/>
    </font>
    <font>
      <b/>
      <vertAlign val="superscript"/>
      <sz val="10"/>
      <color theme="1"/>
      <name val="Calibri"/>
      <family val="2"/>
    </font>
    <font>
      <vertAlign val="superscript"/>
      <sz val="11"/>
      <name val="Calibri"/>
      <family val="2"/>
      <scheme val="minor"/>
    </font>
  </fonts>
  <fills count="42">
    <fill>
      <patternFill patternType="none"/>
    </fill>
    <fill>
      <patternFill patternType="gray125"/>
    </fill>
    <fill>
      <patternFill patternType="solid">
        <fgColor theme="8"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79995117038483843"/>
        <bgColor indexed="65"/>
      </patternFill>
    </fill>
    <fill>
      <patternFill patternType="solid">
        <fgColor theme="9" tint="0.79995117038483843"/>
        <bgColor indexed="65"/>
      </patternFill>
    </fill>
    <fill>
      <patternFill patternType="solid">
        <fgColor theme="4" tint="0.79995117038483843"/>
        <bgColor indexed="65"/>
      </patternFill>
    </fill>
    <fill>
      <patternFill patternType="solid">
        <fgColor rgb="FFFFFF0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499984740745262"/>
        <bgColor indexed="64"/>
      </patternFill>
    </fill>
    <fill>
      <patternFill patternType="solid">
        <fgColor rgb="FF2F7E91"/>
        <bgColor indexed="64"/>
      </patternFill>
    </fill>
    <fill>
      <patternFill patternType="solid">
        <fgColor rgb="FF5AB2CA"/>
        <bgColor indexed="64"/>
      </patternFill>
    </fill>
    <fill>
      <patternFill patternType="solid">
        <fgColor rgb="FF3593A9"/>
        <bgColor indexed="64"/>
      </patternFill>
    </fill>
    <fill>
      <patternFill patternType="solid">
        <fgColor theme="0" tint="-0.14999847407452621"/>
        <bgColor theme="4" tint="0.79998168889431442"/>
      </patternFill>
    </fill>
    <fill>
      <patternFill patternType="solid">
        <fgColor theme="8" tint="0.79998168889431442"/>
        <bgColor theme="4" tint="0.79998168889431442"/>
      </patternFill>
    </fill>
    <fill>
      <patternFill patternType="solid">
        <fgColor theme="8" tint="0.59999389629810485"/>
        <bgColor rgb="FF000000"/>
      </patternFill>
    </fill>
  </fills>
  <borders count="3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330">
    <xf numFmtId="0" fontId="0" fillId="0" borderId="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11" fillId="0" borderId="0"/>
    <xf numFmtId="0" fontId="11" fillId="0" borderId="0"/>
    <xf numFmtId="0" fontId="7" fillId="0" borderId="0"/>
    <xf numFmtId="43" fontId="7" fillId="0" borderId="0" applyFont="0" applyFill="0" applyBorder="0" applyAlignment="0" applyProtection="0"/>
    <xf numFmtId="43" fontId="8" fillId="0" borderId="0" applyFont="0" applyFill="0" applyBorder="0" applyAlignment="0" applyProtection="0"/>
    <xf numFmtId="43" fontId="13" fillId="0" borderId="0" applyFont="0" applyFill="0" applyBorder="0" applyAlignment="0" applyProtection="0"/>
    <xf numFmtId="43" fontId="1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1" fillId="0" borderId="0"/>
    <xf numFmtId="0" fontId="8" fillId="0" borderId="0"/>
    <xf numFmtId="0" fontId="8" fillId="0" borderId="0"/>
    <xf numFmtId="0" fontId="8" fillId="0" borderId="0"/>
    <xf numFmtId="0" fontId="8" fillId="0" borderId="0"/>
    <xf numFmtId="9" fontId="7"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9"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15"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4" fillId="20"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6" fillId="21" borderId="8"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0" fontId="17" fillId="22" borderId="9" applyNumberFormat="0" applyAlignment="0" applyProtection="0"/>
    <xf numFmtId="43" fontId="1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9" fillId="0" borderId="0" applyFont="0" applyFill="0" applyBorder="0" applyAlignment="0" applyProtection="0"/>
    <xf numFmtId="43" fontId="11"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3" fontId="20" fillId="0" borderId="0" applyFont="0" applyFill="0" applyBorder="0" applyAlignment="0" applyProtection="0"/>
    <xf numFmtId="44" fontId="11" fillId="0" borderId="0" applyFont="0" applyFill="0" applyBorder="0" applyAlignment="0" applyProtection="0"/>
    <xf numFmtId="44"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6" fillId="8" borderId="8" applyNumberFormat="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7" fillId="0" borderId="13" applyNumberFormat="0" applyFill="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28" fillId="23" borderId="0" applyNumberFormat="0" applyBorder="0" applyAlignment="0" applyProtection="0"/>
    <xf numFmtId="0" fontId="18" fillId="0" borderId="0"/>
    <xf numFmtId="0" fontId="8" fillId="0" borderId="0"/>
    <xf numFmtId="0" fontId="8" fillId="0" borderId="0"/>
    <xf numFmtId="0" fontId="18" fillId="0" borderId="0"/>
    <xf numFmtId="0" fontId="11" fillId="0" borderId="0"/>
    <xf numFmtId="0" fontId="11" fillId="0" borderId="0"/>
    <xf numFmtId="0" fontId="13" fillId="0" borderId="0"/>
    <xf numFmtId="0" fontId="6" fillId="0" borderId="0"/>
    <xf numFmtId="0" fontId="11" fillId="0" borderId="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11" fillId="24" borderId="14" applyNumberFormat="0" applyFon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0" fontId="29" fillId="21" borderId="15" applyNumberFormat="0" applyAlignment="0" applyProtection="0"/>
    <xf numFmtId="40" fontId="30" fillId="25" borderId="0">
      <alignment horizontal="right"/>
    </xf>
    <xf numFmtId="0" fontId="31" fillId="25" borderId="0">
      <alignment horizontal="right"/>
    </xf>
    <xf numFmtId="0" fontId="32" fillId="25" borderId="1"/>
    <xf numFmtId="0" fontId="32" fillId="0" borderId="0" applyBorder="0">
      <alignment horizontal="centerContinuous"/>
    </xf>
    <xf numFmtId="0" fontId="33" fillId="0" borderId="0" applyBorder="0">
      <alignment horizontal="centerContinuous"/>
    </xf>
    <xf numFmtId="9" fontId="11"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5" fillId="0" borderId="16"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5" fillId="0" borderId="0"/>
    <xf numFmtId="43" fontId="5" fillId="0" borderId="0" applyFont="0" applyFill="0" applyBorder="0" applyAlignment="0" applyProtection="0"/>
    <xf numFmtId="0" fontId="11"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3" fillId="0" borderId="0"/>
    <xf numFmtId="43" fontId="3" fillId="0" borderId="0" applyFont="0" applyFill="0" applyBorder="0" applyAlignment="0" applyProtection="0"/>
    <xf numFmtId="43" fontId="8"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8" fillId="0" borderId="0"/>
    <xf numFmtId="0" fontId="11" fillId="0" borderId="0"/>
    <xf numFmtId="0" fontId="18" fillId="0" borderId="0"/>
    <xf numFmtId="0" fontId="8" fillId="0" borderId="0"/>
    <xf numFmtId="0" fontId="1" fillId="0" borderId="0"/>
    <xf numFmtId="0" fontId="8"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3" fillId="0" borderId="0" applyFont="0" applyFill="0" applyBorder="0" applyAlignment="0" applyProtection="0"/>
    <xf numFmtId="43" fontId="8" fillId="0" borderId="0" applyFont="0" applyFill="0" applyBorder="0" applyAlignment="0" applyProtection="0"/>
    <xf numFmtId="0" fontId="8" fillId="0" borderId="0"/>
    <xf numFmtId="0" fontId="11" fillId="0" borderId="0"/>
    <xf numFmtId="0" fontId="8" fillId="0" borderId="0"/>
    <xf numFmtId="0" fontId="8" fillId="0" borderId="0"/>
    <xf numFmtId="0" fontId="8" fillId="0" borderId="0"/>
    <xf numFmtId="9" fontId="8" fillId="0" borderId="0" applyFont="0" applyFill="0" applyBorder="0" applyAlignment="0" applyProtection="0"/>
    <xf numFmtId="0" fontId="8" fillId="28" borderId="0" applyNumberFormat="0" applyBorder="0" applyAlignment="0" applyProtection="0"/>
    <xf numFmtId="0" fontId="8" fillId="29" borderId="0" applyNumberFormat="0" applyBorder="0" applyAlignment="0" applyProtection="0"/>
    <xf numFmtId="0" fontId="47" fillId="0" borderId="0"/>
    <xf numFmtId="0" fontId="8" fillId="30" borderId="0" applyNumberFormat="0" applyBorder="0" applyAlignment="0" applyProtection="0"/>
  </cellStyleXfs>
  <cellXfs count="356">
    <xf numFmtId="0" fontId="0" fillId="0" borderId="0" xfId="0"/>
    <xf numFmtId="0" fontId="39" fillId="0" borderId="0" xfId="22" applyFont="1"/>
    <xf numFmtId="0" fontId="46" fillId="0" borderId="0" xfId="22" applyFont="1"/>
    <xf numFmtId="0" fontId="10" fillId="0" borderId="0" xfId="0" applyFont="1"/>
    <xf numFmtId="0" fontId="0" fillId="0" borderId="0" xfId="0" applyAlignment="1">
      <alignment wrapText="1"/>
    </xf>
    <xf numFmtId="0" fontId="43" fillId="0" borderId="2" xfId="22" applyFont="1" applyFill="1" applyBorder="1" applyAlignment="1">
      <alignment horizontal="center"/>
    </xf>
    <xf numFmtId="0" fontId="43" fillId="0" borderId="2" xfId="22" applyFont="1" applyBorder="1" applyAlignment="1">
      <alignment horizontal="left"/>
    </xf>
    <xf numFmtId="0" fontId="43" fillId="0" borderId="2" xfId="22" applyFont="1" applyBorder="1" applyAlignment="1">
      <alignment horizontal="left" vertical="top" wrapText="1"/>
    </xf>
    <xf numFmtId="0" fontId="0" fillId="0" borderId="0" xfId="0" applyFont="1"/>
    <xf numFmtId="166" fontId="0" fillId="0" borderId="2" xfId="2" applyNumberFormat="1" applyFont="1" applyFill="1" applyBorder="1" applyAlignment="1">
      <alignment vertical="center"/>
    </xf>
    <xf numFmtId="0" fontId="10" fillId="2" borderId="2" xfId="291" applyFont="1" applyFill="1" applyBorder="1" applyAlignment="1">
      <alignment horizontal="center" vertical="center" wrapText="1"/>
    </xf>
    <xf numFmtId="10" fontId="10" fillId="2" borderId="2" xfId="1" applyNumberFormat="1" applyFont="1" applyFill="1" applyBorder="1" applyAlignment="1">
      <alignment horizontal="center" vertical="center" wrapText="1"/>
    </xf>
    <xf numFmtId="0" fontId="10" fillId="2" borderId="2" xfId="22" applyFont="1" applyFill="1" applyBorder="1" applyAlignment="1">
      <alignment horizontal="center" vertical="center" wrapText="1"/>
    </xf>
    <xf numFmtId="164" fontId="10" fillId="0" borderId="0" xfId="0" applyNumberFormat="1" applyFont="1"/>
    <xf numFmtId="165" fontId="0" fillId="0" borderId="2" xfId="0" applyNumberFormat="1" applyFont="1" applyBorder="1"/>
    <xf numFmtId="0" fontId="0" fillId="0" borderId="0" xfId="0" applyFont="1" applyAlignment="1">
      <alignment wrapText="1"/>
    </xf>
    <xf numFmtId="0" fontId="10" fillId="0" borderId="0" xfId="0" applyFont="1" applyAlignment="1">
      <alignment wrapText="1"/>
    </xf>
    <xf numFmtId="0" fontId="42" fillId="0" borderId="0" xfId="6" applyFont="1" applyAlignment="1">
      <alignment horizontal="left" vertical="center"/>
    </xf>
    <xf numFmtId="0" fontId="0" fillId="0" borderId="21" xfId="6" applyFont="1" applyBorder="1"/>
    <xf numFmtId="0" fontId="48" fillId="0" borderId="0" xfId="281" applyFont="1"/>
    <xf numFmtId="0" fontId="12" fillId="0" borderId="0" xfId="6" applyFont="1"/>
    <xf numFmtId="0" fontId="10" fillId="0" borderId="0" xfId="6" applyFont="1" applyBorder="1"/>
    <xf numFmtId="164" fontId="0" fillId="0" borderId="2" xfId="0" applyNumberFormat="1" applyFont="1" applyBorder="1"/>
    <xf numFmtId="165" fontId="0" fillId="0" borderId="25" xfId="0" applyNumberFormat="1" applyFont="1" applyBorder="1"/>
    <xf numFmtId="0" fontId="0" fillId="0" borderId="22" xfId="6" applyFont="1" applyBorder="1"/>
    <xf numFmtId="164" fontId="0" fillId="0" borderId="23" xfId="0" applyNumberFormat="1" applyFont="1" applyBorder="1"/>
    <xf numFmtId="165" fontId="0" fillId="0" borderId="23" xfId="0" applyNumberFormat="1" applyFont="1" applyBorder="1"/>
    <xf numFmtId="165" fontId="0" fillId="0" borderId="26" xfId="0" applyNumberFormat="1" applyFont="1" applyBorder="1"/>
    <xf numFmtId="0" fontId="10" fillId="2" borderId="19" xfId="6"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4" xfId="0" applyFont="1" applyFill="1" applyBorder="1" applyAlignment="1">
      <alignment horizontal="center" vertical="center" wrapText="1"/>
    </xf>
    <xf numFmtId="164" fontId="0" fillId="0" borderId="21" xfId="0" applyNumberFormat="1" applyFont="1" applyBorder="1"/>
    <xf numFmtId="164" fontId="0" fillId="0" borderId="22" xfId="0" applyNumberFormat="1" applyFont="1" applyBorder="1"/>
    <xf numFmtId="164" fontId="10" fillId="0" borderId="27" xfId="0" applyNumberFormat="1" applyFont="1" applyBorder="1"/>
    <xf numFmtId="165" fontId="10" fillId="0" borderId="27" xfId="0" applyNumberFormat="1" applyFont="1" applyBorder="1"/>
    <xf numFmtId="0" fontId="10" fillId="2" borderId="19" xfId="0" applyFont="1" applyFill="1" applyBorder="1" applyAlignment="1">
      <alignment horizontal="center" vertical="center" wrapText="1"/>
    </xf>
    <xf numFmtId="10" fontId="0" fillId="0" borderId="2" xfId="0" applyNumberFormat="1" applyFont="1" applyBorder="1"/>
    <xf numFmtId="10" fontId="0" fillId="0" borderId="25" xfId="0" applyNumberFormat="1" applyFont="1" applyBorder="1"/>
    <xf numFmtId="10" fontId="0" fillId="0" borderId="23" xfId="0" applyNumberFormat="1" applyFont="1" applyBorder="1"/>
    <xf numFmtId="10" fontId="0" fillId="0" borderId="26" xfId="0" applyNumberFormat="1" applyFont="1" applyBorder="1"/>
    <xf numFmtId="10" fontId="10" fillId="0" borderId="0" xfId="0" applyNumberFormat="1" applyFont="1"/>
    <xf numFmtId="0" fontId="0" fillId="31" borderId="0" xfId="0" applyFill="1"/>
    <xf numFmtId="0" fontId="10" fillId="31" borderId="0" xfId="0" applyFont="1" applyFill="1"/>
    <xf numFmtId="0" fontId="10" fillId="2" borderId="2" xfId="0" applyFont="1" applyFill="1" applyBorder="1" applyAlignment="1">
      <alignment horizontal="center" vertical="center" wrapText="1"/>
    </xf>
    <xf numFmtId="166" fontId="0" fillId="0" borderId="0" xfId="2" applyNumberFormat="1" applyFont="1" applyFill="1" applyBorder="1" applyAlignment="1">
      <alignment horizontal="center" vertical="center"/>
    </xf>
    <xf numFmtId="0" fontId="0" fillId="0" borderId="0" xfId="0" applyFill="1" applyBorder="1" applyAlignment="1">
      <alignment horizontal="center" vertical="center"/>
    </xf>
    <xf numFmtId="166" fontId="0" fillId="0" borderId="0" xfId="2" applyNumberFormat="1" applyFont="1" applyFill="1" applyBorder="1" applyAlignment="1">
      <alignment horizontal="center" vertical="center" wrapText="1"/>
    </xf>
    <xf numFmtId="0" fontId="42" fillId="0" borderId="0" xfId="0" applyFont="1" applyFill="1" applyBorder="1" applyAlignment="1">
      <alignment horizontal="left" vertical="center"/>
    </xf>
    <xf numFmtId="0" fontId="37" fillId="0" borderId="0" xfId="0" applyFont="1" applyFill="1" applyBorder="1" applyAlignment="1">
      <alignment horizontal="left" vertical="center"/>
    </xf>
    <xf numFmtId="49" fontId="42" fillId="0" borderId="0" xfId="0" applyNumberFormat="1" applyFont="1" applyFill="1" applyBorder="1" applyAlignment="1">
      <alignment horizontal="left" vertical="center"/>
    </xf>
    <xf numFmtId="49" fontId="52" fillId="0" borderId="0" xfId="0" applyNumberFormat="1" applyFont="1" applyFill="1" applyBorder="1" applyAlignment="1">
      <alignment horizontal="left" vertical="center"/>
    </xf>
    <xf numFmtId="0" fontId="0" fillId="0" borderId="0" xfId="0" applyFont="1" applyFill="1" applyBorder="1" applyAlignment="1">
      <alignment horizontal="center" vertical="center"/>
    </xf>
    <xf numFmtId="0" fontId="40" fillId="0" borderId="0" xfId="0" quotePrefix="1" applyFont="1" applyFill="1" applyBorder="1" applyAlignment="1">
      <alignment vertical="center" wrapText="1"/>
    </xf>
    <xf numFmtId="0" fontId="40" fillId="0" borderId="0"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0" fillId="0" borderId="0" xfId="0" applyFont="1" applyFill="1" applyBorder="1" applyAlignment="1">
      <alignment vertical="center"/>
    </xf>
    <xf numFmtId="3" fontId="0" fillId="0" borderId="0" xfId="0" applyNumberFormat="1" applyFont="1" applyFill="1" applyBorder="1" applyAlignment="1">
      <alignment vertical="center"/>
    </xf>
    <xf numFmtId="166" fontId="0" fillId="0" borderId="0" xfId="2" applyNumberFormat="1" applyFont="1" applyFill="1" applyBorder="1" applyAlignment="1">
      <alignment vertical="center"/>
    </xf>
    <xf numFmtId="164" fontId="0" fillId="0" borderId="0" xfId="0" applyNumberFormat="1" applyFont="1" applyFill="1" applyBorder="1" applyAlignment="1">
      <alignment vertical="center"/>
    </xf>
    <xf numFmtId="10" fontId="0" fillId="0" borderId="0" xfId="1" applyNumberFormat="1" applyFont="1" applyFill="1" applyBorder="1" applyAlignment="1">
      <alignment vertical="center"/>
    </xf>
    <xf numFmtId="166" fontId="38" fillId="0" borderId="0" xfId="2" applyNumberFormat="1" applyFont="1" applyFill="1" applyBorder="1" applyAlignment="1">
      <alignment vertical="center"/>
    </xf>
    <xf numFmtId="43" fontId="39" fillId="0" borderId="0" xfId="2" applyNumberFormat="1" applyFont="1" applyFill="1" applyBorder="1" applyAlignment="1">
      <alignment vertical="center"/>
    </xf>
    <xf numFmtId="9" fontId="0" fillId="0" borderId="0" xfId="0" applyNumberFormat="1" applyFont="1" applyFill="1" applyBorder="1" applyAlignment="1">
      <alignment horizontal="right" vertical="center"/>
    </xf>
    <xf numFmtId="0" fontId="9" fillId="0" borderId="0" xfId="0" applyFont="1" applyFill="1" applyBorder="1" applyAlignment="1">
      <alignment vertical="center"/>
    </xf>
    <xf numFmtId="0" fontId="0" fillId="0" borderId="0" xfId="0" applyFill="1" applyBorder="1" applyAlignment="1">
      <alignment vertical="center"/>
    </xf>
    <xf numFmtId="0" fontId="12" fillId="0" borderId="0" xfId="0" applyFont="1" applyFill="1" applyBorder="1" applyAlignment="1">
      <alignment vertical="center"/>
    </xf>
    <xf numFmtId="37" fontId="0" fillId="0" borderId="0" xfId="0" applyNumberFormat="1" applyFill="1" applyBorder="1" applyAlignment="1">
      <alignment vertical="center"/>
    </xf>
    <xf numFmtId="0" fontId="10" fillId="0" borderId="0" xfId="0" applyFont="1" applyFill="1" applyBorder="1" applyAlignment="1">
      <alignment vertical="center" wrapText="1"/>
    </xf>
    <xf numFmtId="0" fontId="0" fillId="0" borderId="2" xfId="0" applyFont="1" applyFill="1" applyBorder="1" applyAlignment="1">
      <alignment horizontal="center" vertical="center"/>
    </xf>
    <xf numFmtId="0" fontId="0" fillId="0" borderId="2" xfId="0" applyFont="1" applyFill="1" applyBorder="1" applyAlignment="1">
      <alignment vertical="center"/>
    </xf>
    <xf numFmtId="166" fontId="47" fillId="0" borderId="2" xfId="2" applyNumberFormat="1" applyFont="1" applyFill="1" applyBorder="1" applyAlignment="1">
      <alignment vertical="center"/>
    </xf>
    <xf numFmtId="3" fontId="10" fillId="0" borderId="2" xfId="0" applyNumberFormat="1" applyFont="1" applyFill="1" applyBorder="1" applyAlignment="1">
      <alignment vertical="center"/>
    </xf>
    <xf numFmtId="3" fontId="10" fillId="0" borderId="28" xfId="0" applyNumberFormat="1" applyFont="1" applyFill="1" applyBorder="1" applyAlignment="1">
      <alignment vertical="center"/>
    </xf>
    <xf numFmtId="3" fontId="0" fillId="0" borderId="0" xfId="0" applyNumberFormat="1" applyFont="1" applyBorder="1" applyAlignment="1">
      <alignment vertical="center"/>
    </xf>
    <xf numFmtId="164" fontId="0" fillId="0" borderId="2" xfId="0" applyNumberFormat="1" applyFont="1" applyBorder="1" applyAlignment="1">
      <alignment vertical="center"/>
    </xf>
    <xf numFmtId="3" fontId="0" fillId="0" borderId="2" xfId="0" applyNumberFormat="1" applyFont="1" applyBorder="1" applyAlignment="1">
      <alignment vertical="center"/>
    </xf>
    <xf numFmtId="3" fontId="0" fillId="0" borderId="2" xfId="2" applyNumberFormat="1" applyFont="1" applyFill="1" applyBorder="1" applyAlignment="1">
      <alignment vertical="center"/>
    </xf>
    <xf numFmtId="0" fontId="10" fillId="33"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52" fillId="34"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164" fontId="10" fillId="0" borderId="28" xfId="0" applyNumberFormat="1" applyFont="1" applyBorder="1" applyAlignment="1">
      <alignment vertical="center"/>
    </xf>
    <xf numFmtId="0" fontId="52" fillId="32" borderId="2" xfId="0" applyFont="1" applyFill="1" applyBorder="1" applyAlignment="1">
      <alignment horizontal="center" vertical="center" wrapText="1"/>
    </xf>
    <xf numFmtId="166" fontId="48" fillId="0" borderId="0" xfId="2" applyNumberFormat="1" applyFont="1" applyFill="1" applyBorder="1" applyAlignment="1">
      <alignment horizontal="center" vertical="center" wrapText="1"/>
    </xf>
    <xf numFmtId="0" fontId="48" fillId="0" borderId="0" xfId="0" applyFont="1" applyFill="1" applyBorder="1" applyAlignment="1">
      <alignment horizontal="center" vertical="center"/>
    </xf>
    <xf numFmtId="0" fontId="38" fillId="0" borderId="0" xfId="0" applyFont="1" applyFill="1" applyBorder="1" applyAlignment="1">
      <alignment vertical="center"/>
    </xf>
    <xf numFmtId="0" fontId="57" fillId="0" borderId="0" xfId="0" applyFont="1" applyFill="1" applyBorder="1" applyAlignment="1">
      <alignment vertical="center"/>
    </xf>
    <xf numFmtId="0" fontId="9" fillId="0" borderId="0" xfId="0" applyFont="1" applyFill="1" applyBorder="1" applyAlignment="1">
      <alignment horizontal="right" vertical="center"/>
    </xf>
    <xf numFmtId="166" fontId="39" fillId="0" borderId="0" xfId="2" applyNumberFormat="1" applyFont="1" applyFill="1" applyBorder="1" applyAlignment="1">
      <alignment vertical="center"/>
    </xf>
    <xf numFmtId="4" fontId="0" fillId="0" borderId="2" xfId="0" applyNumberFormat="1" applyFont="1" applyFill="1" applyBorder="1" applyAlignment="1">
      <alignment vertical="center"/>
    </xf>
    <xf numFmtId="164" fontId="10" fillId="0" borderId="18" xfId="0" applyNumberFormat="1" applyFont="1" applyBorder="1" applyAlignment="1">
      <alignment vertical="center"/>
    </xf>
    <xf numFmtId="165" fontId="0" fillId="0" borderId="2" xfId="1" applyNumberFormat="1" applyFont="1" applyFill="1" applyBorder="1" applyAlignment="1">
      <alignment vertical="center"/>
    </xf>
    <xf numFmtId="0" fontId="52" fillId="33" borderId="2" xfId="0" applyFont="1" applyFill="1" applyBorder="1" applyAlignment="1">
      <alignment horizontal="center" vertical="center" wrapText="1"/>
    </xf>
    <xf numFmtId="164" fontId="10" fillId="0" borderId="2" xfId="0" applyNumberFormat="1" applyFont="1" applyBorder="1" applyAlignment="1">
      <alignment vertical="center"/>
    </xf>
    <xf numFmtId="3" fontId="10" fillId="0" borderId="2" xfId="2" applyNumberFormat="1" applyFont="1" applyFill="1" applyBorder="1" applyAlignment="1">
      <alignment vertical="center"/>
    </xf>
    <xf numFmtId="10" fontId="0" fillId="0" borderId="2" xfId="0" applyNumberFormat="1" applyFont="1" applyFill="1" applyBorder="1" applyAlignment="1">
      <alignment vertical="center"/>
    </xf>
    <xf numFmtId="10" fontId="0" fillId="0" borderId="2" xfId="1" applyNumberFormat="1" applyFont="1" applyFill="1" applyBorder="1" applyAlignment="1">
      <alignment vertical="center"/>
    </xf>
    <xf numFmtId="10" fontId="10" fillId="0" borderId="28" xfId="0" applyNumberFormat="1" applyFont="1" applyFill="1" applyBorder="1" applyAlignment="1">
      <alignment horizontal="right" vertical="center"/>
    </xf>
    <xf numFmtId="166" fontId="50" fillId="35" borderId="2" xfId="2" applyNumberFormat="1" applyFont="1" applyFill="1" applyBorder="1" applyAlignment="1">
      <alignment horizontal="center" vertical="center" wrapText="1"/>
    </xf>
    <xf numFmtId="0" fontId="45" fillId="37" borderId="2" xfId="0" applyFont="1" applyFill="1" applyBorder="1" applyAlignment="1">
      <alignment horizontal="center" vertical="center" wrapText="1"/>
    </xf>
    <xf numFmtId="0" fontId="58" fillId="37" borderId="2"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0" borderId="0" xfId="0" applyFont="1" applyFill="1" applyBorder="1" applyAlignment="1">
      <alignment horizontal="right" vertical="center"/>
    </xf>
    <xf numFmtId="164" fontId="10" fillId="0" borderId="17" xfId="0" applyNumberFormat="1" applyFont="1" applyBorder="1" applyAlignment="1">
      <alignment vertical="center"/>
    </xf>
    <xf numFmtId="168" fontId="10" fillId="0" borderId="0" xfId="2" applyNumberFormat="1" applyFont="1" applyBorder="1" applyAlignment="1">
      <alignment vertical="center"/>
    </xf>
    <xf numFmtId="168" fontId="8" fillId="0" borderId="0" xfId="2" applyNumberFormat="1" applyFont="1" applyBorder="1" applyAlignment="1">
      <alignment vertical="center"/>
    </xf>
    <xf numFmtId="0" fontId="8" fillId="0" borderId="0" xfId="0" applyFont="1" applyBorder="1" applyAlignment="1">
      <alignment vertical="center"/>
    </xf>
    <xf numFmtId="168" fontId="45" fillId="0" borderId="0" xfId="2" applyNumberFormat="1" applyFont="1" applyBorder="1" applyAlignment="1">
      <alignment horizontal="left" vertical="center" wrapText="1"/>
    </xf>
    <xf numFmtId="168" fontId="10" fillId="0" borderId="0" xfId="2" applyNumberFormat="1" applyFont="1" applyFill="1" applyBorder="1" applyAlignment="1">
      <alignment vertical="center" wrapText="1"/>
    </xf>
    <xf numFmtId="166" fontId="8" fillId="0" borderId="0" xfId="2" applyNumberFormat="1" applyFont="1" applyBorder="1" applyAlignment="1">
      <alignment vertical="center"/>
    </xf>
    <xf numFmtId="166" fontId="8" fillId="0" borderId="0" xfId="2" applyNumberFormat="1" applyFont="1" applyFill="1" applyBorder="1" applyAlignment="1">
      <alignment vertical="center"/>
    </xf>
    <xf numFmtId="168" fontId="8" fillId="0" borderId="0" xfId="2" applyNumberFormat="1" applyFont="1" applyBorder="1" applyAlignment="1">
      <alignment vertical="center" wrapText="1"/>
    </xf>
    <xf numFmtId="168" fontId="9" fillId="0" borderId="0" xfId="2" applyNumberFormat="1" applyFont="1" applyBorder="1" applyAlignment="1">
      <alignment vertical="center"/>
    </xf>
    <xf numFmtId="0" fontId="8" fillId="0" borderId="0" xfId="0" applyFont="1" applyBorder="1" applyAlignment="1">
      <alignment vertical="center" wrapText="1"/>
    </xf>
    <xf numFmtId="168" fontId="10" fillId="0" borderId="0" xfId="2" applyNumberFormat="1" applyFont="1" applyFill="1" applyBorder="1" applyAlignment="1">
      <alignment vertical="center"/>
    </xf>
    <xf numFmtId="166" fontId="10" fillId="0" borderId="0" xfId="2" applyNumberFormat="1" applyFont="1" applyBorder="1" applyAlignment="1">
      <alignment vertical="center"/>
    </xf>
    <xf numFmtId="0" fontId="10" fillId="0" borderId="0" xfId="0" applyFont="1" applyBorder="1" applyAlignment="1">
      <alignment vertical="center"/>
    </xf>
    <xf numFmtId="168" fontId="10" fillId="0" borderId="0" xfId="2" applyNumberFormat="1" applyFont="1" applyBorder="1" applyAlignment="1">
      <alignment horizontal="right" vertical="center"/>
    </xf>
    <xf numFmtId="168" fontId="8" fillId="0" borderId="2" xfId="2" applyNumberFormat="1" applyFont="1" applyBorder="1" applyAlignment="1">
      <alignment vertical="center"/>
    </xf>
    <xf numFmtId="168" fontId="10" fillId="2" borderId="2" xfId="2" applyNumberFormat="1" applyFont="1" applyFill="1" applyBorder="1" applyAlignment="1">
      <alignment horizontal="center" vertical="center" wrapText="1"/>
    </xf>
    <xf numFmtId="168" fontId="39" fillId="0" borderId="2" xfId="2" applyNumberFormat="1" applyFont="1" applyBorder="1" applyAlignment="1">
      <alignment vertical="center"/>
    </xf>
    <xf numFmtId="168" fontId="45" fillId="0" borderId="2" xfId="2" applyNumberFormat="1" applyFont="1" applyBorder="1" applyAlignment="1">
      <alignment vertical="center"/>
    </xf>
    <xf numFmtId="37" fontId="45" fillId="0" borderId="2" xfId="2" applyNumberFormat="1" applyFont="1" applyBorder="1" applyAlignment="1">
      <alignment vertical="center"/>
    </xf>
    <xf numFmtId="168" fontId="10" fillId="0" borderId="28" xfId="2" applyNumberFormat="1" applyFont="1" applyBorder="1" applyAlignment="1">
      <alignment vertical="center"/>
    </xf>
    <xf numFmtId="168" fontId="10" fillId="27" borderId="28" xfId="2" applyNumberFormat="1" applyFont="1" applyFill="1" applyBorder="1" applyAlignment="1">
      <alignment vertical="center"/>
    </xf>
    <xf numFmtId="37" fontId="10" fillId="0" borderId="28" xfId="2" applyNumberFormat="1" applyFont="1" applyBorder="1" applyAlignment="1">
      <alignment vertical="center"/>
    </xf>
    <xf numFmtId="37" fontId="45" fillId="0" borderId="2" xfId="0" applyNumberFormat="1" applyFont="1" applyBorder="1" applyAlignment="1">
      <alignment vertical="center"/>
    </xf>
    <xf numFmtId="166" fontId="10" fillId="0" borderId="28" xfId="2" applyNumberFormat="1" applyFont="1" applyBorder="1" applyAlignment="1">
      <alignment vertical="center"/>
    </xf>
    <xf numFmtId="166" fontId="45" fillId="0" borderId="2" xfId="2" applyNumberFormat="1" applyFont="1" applyBorder="1" applyAlignment="1">
      <alignment vertical="center"/>
    </xf>
    <xf numFmtId="0" fontId="8" fillId="0" borderId="0" xfId="294" applyFont="1" applyAlignment="1">
      <alignment vertical="center"/>
    </xf>
    <xf numFmtId="0" fontId="8" fillId="0" borderId="0" xfId="294" applyFont="1" applyFill="1" applyAlignment="1">
      <alignment vertical="center"/>
    </xf>
    <xf numFmtId="0" fontId="10" fillId="2" borderId="2" xfId="294" applyFont="1" applyFill="1" applyBorder="1" applyAlignment="1">
      <alignment horizontal="center" vertical="center" wrapText="1"/>
    </xf>
    <xf numFmtId="0" fontId="8" fillId="0" borderId="2" xfId="294" applyFont="1" applyBorder="1" applyAlignment="1">
      <alignment vertical="center"/>
    </xf>
    <xf numFmtId="166" fontId="8" fillId="0" borderId="2" xfId="0" applyNumberFormat="1" applyFont="1" applyBorder="1" applyAlignment="1">
      <alignment vertical="center"/>
    </xf>
    <xf numFmtId="166" fontId="8" fillId="0" borderId="0" xfId="295" applyNumberFormat="1" applyFont="1" applyAlignment="1">
      <alignment vertical="center"/>
    </xf>
    <xf numFmtId="0" fontId="8" fillId="0" borderId="0" xfId="294" applyFont="1" applyBorder="1" applyAlignment="1">
      <alignment vertical="center"/>
    </xf>
    <xf numFmtId="166" fontId="8" fillId="0" borderId="0" xfId="295" applyNumberFormat="1" applyFont="1" applyBorder="1" applyAlignment="1">
      <alignment vertical="center"/>
    </xf>
    <xf numFmtId="166" fontId="10" fillId="0" borderId="0" xfId="295" applyNumberFormat="1" applyFont="1" applyBorder="1" applyAlignment="1">
      <alignment vertical="center"/>
    </xf>
    <xf numFmtId="166" fontId="8" fillId="0" borderId="0" xfId="2" applyNumberFormat="1" applyFont="1" applyAlignment="1">
      <alignment vertical="center"/>
    </xf>
    <xf numFmtId="166" fontId="8" fillId="0" borderId="0" xfId="294" applyNumberFormat="1" applyFont="1" applyAlignment="1">
      <alignment vertical="center"/>
    </xf>
    <xf numFmtId="165" fontId="8" fillId="0" borderId="0" xfId="1" applyNumberFormat="1" applyFont="1" applyAlignment="1">
      <alignment vertical="center"/>
    </xf>
    <xf numFmtId="0" fontId="10" fillId="0" borderId="0" xfId="294" applyFont="1" applyBorder="1" applyAlignment="1">
      <alignment horizontal="center" vertical="center"/>
    </xf>
    <xf numFmtId="0" fontId="55" fillId="0" borderId="0" xfId="294" applyFont="1" applyAlignment="1">
      <alignment vertical="center"/>
    </xf>
    <xf numFmtId="168" fontId="10" fillId="0" borderId="0" xfId="2" applyNumberFormat="1" applyFont="1" applyFill="1" applyAlignment="1">
      <alignment horizontal="left" vertical="center"/>
    </xf>
    <xf numFmtId="0" fontId="42" fillId="0" borderId="0" xfId="294" applyFont="1" applyAlignment="1">
      <alignment vertical="center"/>
    </xf>
    <xf numFmtId="5" fontId="8" fillId="0" borderId="2" xfId="0" applyNumberFormat="1" applyFont="1" applyBorder="1" applyAlignment="1">
      <alignment vertical="center"/>
    </xf>
    <xf numFmtId="5" fontId="8" fillId="0" borderId="2" xfId="295" applyNumberFormat="1" applyFont="1" applyBorder="1" applyAlignment="1">
      <alignment vertical="center"/>
    </xf>
    <xf numFmtId="0" fontId="10" fillId="0" borderId="0" xfId="294" applyFont="1" applyBorder="1" applyAlignment="1">
      <alignment horizontal="right" vertical="center"/>
    </xf>
    <xf numFmtId="5" fontId="10" fillId="0" borderId="28" xfId="295" applyNumberFormat="1" applyFont="1" applyBorder="1" applyAlignment="1">
      <alignment vertical="center"/>
    </xf>
    <xf numFmtId="166" fontId="10" fillId="0" borderId="28" xfId="295" applyNumberFormat="1" applyFont="1" applyBorder="1" applyAlignment="1">
      <alignment vertical="center"/>
    </xf>
    <xf numFmtId="0" fontId="52" fillId="2" borderId="2" xfId="294" applyFont="1" applyFill="1" applyBorder="1" applyAlignment="1">
      <alignment horizontal="center" vertical="center" wrapText="1"/>
    </xf>
    <xf numFmtId="9" fontId="39" fillId="0" borderId="2" xfId="0" applyNumberFormat="1" applyFont="1" applyFill="1" applyBorder="1"/>
    <xf numFmtId="0" fontId="39" fillId="0" borderId="2" xfId="0" applyFont="1" applyFill="1" applyBorder="1" applyAlignment="1">
      <alignment horizontal="center"/>
    </xf>
    <xf numFmtId="0" fontId="39" fillId="0" borderId="0" xfId="22" applyFont="1" applyBorder="1"/>
    <xf numFmtId="0" fontId="39" fillId="0" borderId="0" xfId="22" applyFont="1" applyFill="1" applyAlignment="1">
      <alignment horizontal="center"/>
    </xf>
    <xf numFmtId="0" fontId="45" fillId="0" borderId="0" xfId="22" applyFont="1"/>
    <xf numFmtId="0" fontId="38" fillId="0" borderId="0" xfId="22" applyFont="1" applyAlignment="1">
      <alignment horizontal="center"/>
    </xf>
    <xf numFmtId="2" fontId="39" fillId="0" borderId="0" xfId="22" applyNumberFormat="1" applyFont="1" applyFill="1" applyAlignment="1">
      <alignment horizontal="center"/>
    </xf>
    <xf numFmtId="0" fontId="62" fillId="0" borderId="0" xfId="22" applyFont="1"/>
    <xf numFmtId="49" fontId="58" fillId="0" borderId="0" xfId="22" applyNumberFormat="1" applyFont="1"/>
    <xf numFmtId="0" fontId="52" fillId="2" borderId="2" xfId="22" applyFont="1" applyFill="1" applyBorder="1" applyAlignment="1">
      <alignment horizontal="center" vertical="center" wrapText="1"/>
    </xf>
    <xf numFmtId="5" fontId="10" fillId="0" borderId="5" xfId="295" applyNumberFormat="1" applyFont="1" applyBorder="1" applyAlignment="1">
      <alignment vertical="center"/>
    </xf>
    <xf numFmtId="43" fontId="8" fillId="0" borderId="2" xfId="2" applyFont="1" applyBorder="1" applyAlignment="1">
      <alignment vertical="center"/>
    </xf>
    <xf numFmtId="167" fontId="38" fillId="0" borderId="0" xfId="3" applyNumberFormat="1" applyFont="1" applyFill="1" applyBorder="1" applyAlignment="1">
      <alignment vertical="center"/>
    </xf>
    <xf numFmtId="0" fontId="0" fillId="0" borderId="0" xfId="0" applyFont="1" applyAlignment="1">
      <alignment vertical="center"/>
    </xf>
    <xf numFmtId="0" fontId="0" fillId="0" borderId="2" xfId="0" applyFont="1" applyBorder="1" applyAlignment="1">
      <alignment horizontal="left" vertical="center"/>
    </xf>
    <xf numFmtId="43" fontId="0" fillId="0" borderId="2" xfId="0" applyNumberFormat="1" applyFont="1" applyBorder="1" applyAlignment="1">
      <alignment vertical="center"/>
    </xf>
    <xf numFmtId="165" fontId="0" fillId="0" borderId="2" xfId="0" applyNumberFormat="1" applyFont="1" applyBorder="1" applyAlignment="1">
      <alignment vertical="center"/>
    </xf>
    <xf numFmtId="5" fontId="0" fillId="0" borderId="2" xfId="0" applyNumberFormat="1" applyFont="1" applyBorder="1" applyAlignment="1">
      <alignment vertical="center"/>
    </xf>
    <xf numFmtId="0" fontId="10" fillId="0" borderId="0" xfId="0" applyFont="1" applyAlignment="1">
      <alignment horizontal="right" vertical="center"/>
    </xf>
    <xf numFmtId="164" fontId="10" fillId="0" borderId="0" xfId="0" applyNumberFormat="1" applyFont="1" applyAlignment="1">
      <alignment vertical="center"/>
    </xf>
    <xf numFmtId="0" fontId="10" fillId="0" borderId="0" xfId="0" applyFont="1" applyAlignment="1">
      <alignment vertical="center"/>
    </xf>
    <xf numFmtId="10" fontId="0" fillId="0" borderId="0" xfId="1" applyNumberFormat="1" applyFont="1" applyAlignment="1">
      <alignment vertical="center"/>
    </xf>
    <xf numFmtId="43" fontId="0" fillId="0" borderId="0" xfId="2" applyFont="1" applyAlignment="1">
      <alignment vertical="center"/>
    </xf>
    <xf numFmtId="0" fontId="42" fillId="0" borderId="0" xfId="0" applyFont="1" applyAlignment="1">
      <alignment vertical="center"/>
    </xf>
    <xf numFmtId="5" fontId="10" fillId="0" borderId="2" xfId="0" applyNumberFormat="1" applyFont="1" applyBorder="1" applyAlignment="1">
      <alignment vertical="center"/>
    </xf>
    <xf numFmtId="4" fontId="10" fillId="0" borderId="28" xfId="0" applyNumberFormat="1" applyFont="1" applyBorder="1" applyAlignment="1">
      <alignment vertical="center"/>
    </xf>
    <xf numFmtId="165" fontId="10" fillId="0" borderId="28" xfId="0" applyNumberFormat="1" applyFont="1" applyBorder="1" applyAlignment="1">
      <alignment vertical="center"/>
    </xf>
    <xf numFmtId="166" fontId="51" fillId="0" borderId="0" xfId="2" applyNumberFormat="1" applyFont="1" applyFill="1" applyBorder="1" applyAlignment="1">
      <alignment vertical="center"/>
    </xf>
    <xf numFmtId="37" fontId="51" fillId="0" borderId="0" xfId="0" applyNumberFormat="1" applyFont="1" applyFill="1" applyBorder="1" applyAlignment="1">
      <alignment vertical="center"/>
    </xf>
    <xf numFmtId="0" fontId="0" fillId="0" borderId="0" xfId="0" applyFont="1" applyBorder="1" applyAlignment="1">
      <alignment vertical="center"/>
    </xf>
    <xf numFmtId="0" fontId="0" fillId="0" borderId="0" xfId="0" applyFont="1" applyBorder="1" applyAlignment="1">
      <alignment vertical="center" wrapText="1"/>
    </xf>
    <xf numFmtId="166" fontId="0" fillId="0" borderId="0" xfId="2" applyNumberFormat="1" applyFont="1" applyBorder="1" applyAlignment="1">
      <alignment vertical="center"/>
    </xf>
    <xf numFmtId="166" fontId="0" fillId="0" borderId="0" xfId="0" applyNumberFormat="1" applyFont="1" applyBorder="1" applyAlignment="1">
      <alignment vertical="center"/>
    </xf>
    <xf numFmtId="0" fontId="42" fillId="0" borderId="0" xfId="0" applyFont="1" applyBorder="1" applyAlignment="1">
      <alignment vertical="center"/>
    </xf>
    <xf numFmtId="49" fontId="10" fillId="0" borderId="0" xfId="0" applyNumberFormat="1" applyFont="1" applyBorder="1" applyAlignment="1">
      <alignment vertical="center"/>
    </xf>
    <xf numFmtId="49" fontId="52" fillId="0" borderId="0" xfId="0" applyNumberFormat="1" applyFont="1" applyBorder="1" applyAlignment="1">
      <alignment vertical="center"/>
    </xf>
    <xf numFmtId="0" fontId="0" fillId="0" borderId="0" xfId="0" applyFont="1" applyBorder="1" applyAlignment="1">
      <alignment horizontal="center" vertical="center"/>
    </xf>
    <xf numFmtId="166" fontId="64" fillId="32" borderId="0" xfId="2" applyNumberFormat="1" applyFont="1" applyFill="1" applyBorder="1" applyAlignment="1">
      <alignment horizontal="center" vertical="center" wrapText="1"/>
    </xf>
    <xf numFmtId="0" fontId="63" fillId="32" borderId="0" xfId="0" applyFont="1" applyFill="1" applyBorder="1" applyAlignment="1">
      <alignment vertical="center"/>
    </xf>
    <xf numFmtId="0" fontId="64" fillId="32" borderId="0" xfId="6" applyFont="1" applyFill="1" applyBorder="1" applyAlignment="1">
      <alignment horizontal="center" vertical="center" wrapText="1"/>
    </xf>
    <xf numFmtId="166" fontId="63" fillId="32" borderId="0" xfId="2" applyNumberFormat="1" applyFont="1" applyFill="1" applyBorder="1" applyAlignment="1">
      <alignment vertical="center"/>
    </xf>
    <xf numFmtId="10" fontId="63" fillId="32" borderId="0" xfId="1" applyNumberFormat="1" applyFont="1" applyFill="1" applyBorder="1" applyAlignment="1">
      <alignment vertical="center"/>
    </xf>
    <xf numFmtId="3" fontId="63" fillId="32" borderId="0" xfId="0" applyNumberFormat="1" applyFont="1" applyFill="1" applyBorder="1" applyAlignment="1">
      <alignment vertical="center"/>
    </xf>
    <xf numFmtId="166" fontId="64" fillId="32" borderId="0" xfId="2" applyNumberFormat="1" applyFont="1" applyFill="1" applyBorder="1" applyAlignment="1">
      <alignment vertical="center"/>
    </xf>
    <xf numFmtId="10" fontId="64" fillId="32" borderId="0" xfId="1" applyNumberFormat="1" applyFont="1" applyFill="1" applyBorder="1" applyAlignment="1">
      <alignment vertical="center"/>
    </xf>
    <xf numFmtId="166" fontId="38" fillId="0" borderId="0" xfId="0" applyNumberFormat="1" applyFont="1" applyFill="1" applyBorder="1" applyAlignment="1">
      <alignment vertical="center"/>
    </xf>
    <xf numFmtId="166" fontId="39" fillId="0" borderId="0" xfId="0" applyNumberFormat="1" applyFont="1" applyFill="1" applyBorder="1" applyAlignment="1">
      <alignment vertical="center"/>
    </xf>
    <xf numFmtId="166" fontId="0" fillId="0" borderId="2" xfId="292" applyNumberFormat="1" applyFont="1" applyBorder="1" applyAlignment="1">
      <alignment vertical="center"/>
    </xf>
    <xf numFmtId="10" fontId="10" fillId="0" borderId="28" xfId="1" applyNumberFormat="1" applyFont="1" applyBorder="1" applyAlignment="1">
      <alignment vertical="center"/>
    </xf>
    <xf numFmtId="0" fontId="55" fillId="0" borderId="0" xfId="0" applyFont="1" applyFill="1" applyBorder="1" applyAlignment="1">
      <alignment vertical="center"/>
    </xf>
    <xf numFmtId="166" fontId="0" fillId="0" borderId="2" xfId="2" applyNumberFormat="1" applyFont="1" applyFill="1" applyBorder="1" applyAlignment="1">
      <alignment horizontal="right" vertical="center"/>
    </xf>
    <xf numFmtId="166" fontId="10" fillId="0" borderId="2" xfId="2" applyNumberFormat="1" applyFont="1" applyFill="1" applyBorder="1" applyAlignment="1">
      <alignment horizontal="right" vertical="center"/>
    </xf>
    <xf numFmtId="5" fontId="0" fillId="0" borderId="2" xfId="292" applyNumberFormat="1" applyFont="1" applyBorder="1" applyAlignment="1">
      <alignment vertical="center"/>
    </xf>
    <xf numFmtId="5" fontId="0" fillId="0" borderId="2" xfId="2" applyNumberFormat="1" applyFont="1" applyFill="1" applyBorder="1" applyAlignment="1">
      <alignment vertical="center"/>
    </xf>
    <xf numFmtId="5" fontId="10" fillId="0" borderId="28" xfId="292" applyNumberFormat="1" applyFont="1" applyBorder="1" applyAlignment="1">
      <alignment vertical="center"/>
    </xf>
    <xf numFmtId="5" fontId="10" fillId="0" borderId="28" xfId="2" applyNumberFormat="1" applyFont="1" applyBorder="1" applyAlignment="1">
      <alignment vertical="center"/>
    </xf>
    <xf numFmtId="0" fontId="9" fillId="0" borderId="0" xfId="0" applyFont="1" applyFill="1" applyAlignment="1">
      <alignment vertical="center"/>
    </xf>
    <xf numFmtId="0" fontId="0" fillId="0" borderId="0" xfId="0" applyFont="1" applyFill="1" applyAlignment="1">
      <alignment vertical="center"/>
    </xf>
    <xf numFmtId="164" fontId="0" fillId="0" borderId="2" xfId="0" applyNumberFormat="1" applyFont="1" applyFill="1" applyBorder="1" applyAlignment="1">
      <alignment horizontal="center" vertical="center"/>
    </xf>
    <xf numFmtId="2" fontId="0" fillId="0" borderId="0" xfId="0" applyNumberFormat="1" applyFont="1" applyBorder="1" applyAlignment="1">
      <alignment vertical="center"/>
    </xf>
    <xf numFmtId="1" fontId="10" fillId="0" borderId="0" xfId="0" applyNumberFormat="1" applyFont="1" applyFill="1" applyBorder="1" applyAlignment="1">
      <alignment horizontal="center" vertical="center"/>
    </xf>
    <xf numFmtId="0" fontId="42" fillId="0" borderId="0" xfId="0" applyFont="1" applyBorder="1" applyAlignment="1">
      <alignment horizontal="left" vertical="center"/>
    </xf>
    <xf numFmtId="2" fontId="0" fillId="0" borderId="2" xfId="0" applyNumberFormat="1" applyFont="1" applyBorder="1" applyAlignment="1">
      <alignment vertical="center"/>
    </xf>
    <xf numFmtId="0" fontId="10" fillId="0" borderId="0" xfId="0" applyNumberFormat="1" applyFont="1" applyFill="1" applyBorder="1" applyAlignment="1">
      <alignment horizontal="right" vertical="center"/>
    </xf>
    <xf numFmtId="1" fontId="0" fillId="0" borderId="2" xfId="2" applyNumberFormat="1" applyFont="1" applyBorder="1" applyAlignment="1">
      <alignment horizontal="center" vertical="center"/>
    </xf>
    <xf numFmtId="2" fontId="10" fillId="40" borderId="2" xfId="0" applyNumberFormat="1" applyFont="1" applyFill="1" applyBorder="1" applyAlignment="1">
      <alignment horizontal="center" vertical="center" wrapText="1"/>
    </xf>
    <xf numFmtId="3" fontId="10" fillId="40" borderId="2" xfId="0" applyNumberFormat="1" applyFont="1" applyFill="1" applyBorder="1" applyAlignment="1">
      <alignment horizontal="center" vertical="center" wrapText="1"/>
    </xf>
    <xf numFmtId="43" fontId="10" fillId="2" borderId="2" xfId="0" applyNumberFormat="1" applyFont="1" applyFill="1" applyBorder="1" applyAlignment="1">
      <alignment horizontal="center" vertical="center" wrapText="1"/>
    </xf>
    <xf numFmtId="0" fontId="10" fillId="40" borderId="2" xfId="0" applyFont="1" applyFill="1" applyBorder="1" applyAlignment="1">
      <alignment horizontal="center" vertical="center" wrapText="1"/>
    </xf>
    <xf numFmtId="0" fontId="8" fillId="0" borderId="0" xfId="299" applyFont="1" applyAlignment="1">
      <alignment vertical="center"/>
    </xf>
    <xf numFmtId="0" fontId="66" fillId="0" borderId="0" xfId="299" applyFont="1" applyAlignment="1">
      <alignment vertical="center"/>
    </xf>
    <xf numFmtId="0" fontId="10" fillId="0" borderId="0" xfId="299" applyFont="1" applyBorder="1" applyAlignment="1">
      <alignment horizontal="left" vertical="center"/>
    </xf>
    <xf numFmtId="0" fontId="10" fillId="2" borderId="2" xfId="299" applyFont="1" applyFill="1" applyBorder="1" applyAlignment="1">
      <alignment horizontal="center" vertical="center" wrapText="1"/>
    </xf>
    <xf numFmtId="167" fontId="8" fillId="0" borderId="2" xfId="299" applyNumberFormat="1" applyFont="1" applyBorder="1" applyAlignment="1">
      <alignment vertical="center"/>
    </xf>
    <xf numFmtId="166" fontId="66" fillId="0" borderId="0" xfId="2" applyNumberFormat="1" applyFont="1" applyAlignment="1">
      <alignment vertical="center"/>
    </xf>
    <xf numFmtId="43" fontId="8" fillId="0" borderId="0" xfId="299" applyNumberFormat="1" applyFont="1" applyAlignment="1">
      <alignment vertical="center"/>
    </xf>
    <xf numFmtId="166" fontId="8" fillId="0" borderId="0" xfId="299" applyNumberFormat="1" applyFont="1" applyAlignment="1">
      <alignment vertical="center"/>
    </xf>
    <xf numFmtId="166" fontId="66" fillId="0" borderId="0" xfId="299" applyNumberFormat="1" applyFont="1" applyAlignment="1">
      <alignment vertical="center"/>
    </xf>
    <xf numFmtId="0" fontId="10" fillId="0" borderId="0" xfId="299" applyFont="1" applyFill="1" applyBorder="1" applyAlignment="1">
      <alignment horizontal="center" vertical="center" wrapText="1"/>
    </xf>
    <xf numFmtId="0" fontId="8" fillId="0" borderId="0" xfId="299" applyFont="1" applyFill="1" applyBorder="1" applyAlignment="1">
      <alignment vertical="center"/>
    </xf>
    <xf numFmtId="167" fontId="8" fillId="0" borderId="0" xfId="299" applyNumberFormat="1" applyFont="1" applyFill="1" applyBorder="1" applyAlignment="1">
      <alignment vertical="center"/>
    </xf>
    <xf numFmtId="0" fontId="55" fillId="0" borderId="0" xfId="299" applyFont="1" applyAlignment="1">
      <alignment vertical="center"/>
    </xf>
    <xf numFmtId="49" fontId="42" fillId="0" borderId="0" xfId="2" applyNumberFormat="1" applyFont="1" applyFill="1" applyAlignment="1">
      <alignment horizontal="left" vertical="center"/>
    </xf>
    <xf numFmtId="37" fontId="8" fillId="0" borderId="2" xfId="2" applyNumberFormat="1" applyFont="1" applyBorder="1" applyAlignment="1">
      <alignment horizontal="center" vertical="center"/>
    </xf>
    <xf numFmtId="166" fontId="10" fillId="0" borderId="2" xfId="2" applyNumberFormat="1" applyFont="1" applyBorder="1" applyAlignment="1">
      <alignment vertical="center"/>
    </xf>
    <xf numFmtId="168" fontId="10" fillId="0" borderId="0" xfId="2" applyNumberFormat="1" applyFont="1" applyFill="1" applyAlignment="1">
      <alignment horizontal="center" vertical="center"/>
    </xf>
    <xf numFmtId="0" fontId="10" fillId="0" borderId="0" xfId="299" applyFont="1" applyBorder="1" applyAlignment="1">
      <alignment horizontal="center" vertical="center"/>
    </xf>
    <xf numFmtId="0" fontId="8" fillId="0" borderId="2" xfId="299" applyFont="1" applyBorder="1" applyAlignment="1">
      <alignment horizontal="center" vertical="center"/>
    </xf>
    <xf numFmtId="0" fontId="8" fillId="0" borderId="0" xfId="299" applyFont="1" applyAlignment="1">
      <alignment horizontal="center" vertical="center"/>
    </xf>
    <xf numFmtId="0" fontId="10" fillId="0" borderId="0" xfId="299" applyFont="1" applyAlignment="1">
      <alignment vertical="center"/>
    </xf>
    <xf numFmtId="0" fontId="10" fillId="0" borderId="0" xfId="299" applyFont="1" applyAlignment="1">
      <alignment horizontal="right" vertical="center"/>
    </xf>
    <xf numFmtId="0" fontId="52" fillId="2" borderId="2" xfId="299" applyFont="1" applyFill="1" applyBorder="1" applyAlignment="1">
      <alignment horizontal="center" vertical="center" wrapText="1"/>
    </xf>
    <xf numFmtId="37" fontId="10" fillId="0" borderId="2" xfId="299" applyNumberFormat="1" applyFont="1" applyBorder="1" applyAlignment="1">
      <alignment vertical="center"/>
    </xf>
    <xf numFmtId="164" fontId="8" fillId="0" borderId="2" xfId="2" applyNumberFormat="1" applyFont="1" applyFill="1" applyBorder="1" applyAlignment="1">
      <alignment vertical="center"/>
    </xf>
    <xf numFmtId="164" fontId="10" fillId="0" borderId="2" xfId="2" applyNumberFormat="1" applyFont="1" applyFill="1" applyBorder="1" applyAlignment="1">
      <alignment vertical="center"/>
    </xf>
    <xf numFmtId="0" fontId="50" fillId="0" borderId="0" xfId="299" applyFont="1" applyFill="1" applyBorder="1" applyAlignment="1">
      <alignment horizontal="center" vertical="center" wrapText="1"/>
    </xf>
    <xf numFmtId="0" fontId="0" fillId="34" borderId="2" xfId="0" applyFont="1" applyFill="1" applyBorder="1" applyAlignment="1">
      <alignment horizontal="center" vertical="center" wrapText="1"/>
    </xf>
    <xf numFmtId="0" fontId="39" fillId="41" borderId="2" xfId="0" applyFont="1" applyFill="1" applyBorder="1" applyAlignment="1">
      <alignment horizontal="center"/>
    </xf>
    <xf numFmtId="166" fontId="10" fillId="0" borderId="5" xfId="0" applyNumberFormat="1" applyFont="1" applyBorder="1" applyAlignment="1">
      <alignment vertical="center"/>
    </xf>
    <xf numFmtId="1" fontId="0" fillId="0" borderId="0" xfId="0" applyNumberFormat="1" applyFont="1" applyBorder="1" applyAlignment="1">
      <alignment vertical="center"/>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164" fontId="0" fillId="0" borderId="0" xfId="0" applyNumberFormat="1" applyFont="1" applyBorder="1" applyAlignment="1">
      <alignment vertical="center"/>
    </xf>
    <xf numFmtId="168" fontId="61" fillId="0" borderId="0" xfId="2" applyNumberFormat="1" applyFont="1" applyBorder="1" applyAlignment="1">
      <alignment horizontal="center" vertical="center" wrapText="1"/>
    </xf>
    <xf numFmtId="168" fontId="67" fillId="0" borderId="0" xfId="2" applyNumberFormat="1" applyFont="1" applyBorder="1" applyAlignment="1">
      <alignment vertical="center" wrapText="1"/>
    </xf>
    <xf numFmtId="0" fontId="51" fillId="0" borderId="0" xfId="22" applyFont="1"/>
    <xf numFmtId="0" fontId="9" fillId="0" borderId="0" xfId="0" applyFont="1" applyFill="1" applyBorder="1" applyAlignment="1">
      <alignment horizontal="left" vertical="center"/>
    </xf>
    <xf numFmtId="168" fontId="51" fillId="0" borderId="0" xfId="2" applyNumberFormat="1" applyFont="1" applyBorder="1" applyAlignment="1">
      <alignment vertical="center"/>
    </xf>
    <xf numFmtId="43" fontId="51" fillId="0" borderId="0" xfId="299" applyNumberFormat="1" applyFont="1" applyAlignment="1">
      <alignment vertical="center"/>
    </xf>
    <xf numFmtId="9" fontId="9" fillId="0" borderId="0" xfId="0" applyNumberFormat="1" applyFont="1" applyFill="1" applyBorder="1" applyAlignment="1">
      <alignment vertical="center"/>
    </xf>
    <xf numFmtId="164" fontId="9" fillId="0" borderId="0" xfId="0" applyNumberFormat="1" applyFont="1" applyFill="1" applyBorder="1" applyAlignment="1">
      <alignment vertical="center"/>
    </xf>
    <xf numFmtId="0" fontId="9" fillId="0" borderId="0" xfId="0" applyFont="1" applyFill="1" applyBorder="1" applyAlignment="1">
      <alignment horizontal="center" vertical="center"/>
    </xf>
    <xf numFmtId="37" fontId="9" fillId="0" borderId="0" xfId="0" applyNumberFormat="1" applyFont="1" applyFill="1" applyBorder="1" applyAlignment="1">
      <alignment vertical="center"/>
    </xf>
    <xf numFmtId="166" fontId="9" fillId="0" borderId="0" xfId="2" applyNumberFormat="1" applyFont="1" applyFill="1" applyBorder="1" applyAlignment="1">
      <alignment vertical="center"/>
    </xf>
    <xf numFmtId="0" fontId="74" fillId="0" borderId="0" xfId="0" applyFont="1" applyFill="1" applyBorder="1" applyAlignment="1">
      <alignment vertical="center"/>
    </xf>
    <xf numFmtId="0" fontId="68" fillId="0" borderId="0" xfId="0" applyFont="1" applyFill="1" applyBorder="1" applyAlignment="1">
      <alignment vertical="center"/>
    </xf>
    <xf numFmtId="166" fontId="0" fillId="0" borderId="2" xfId="2" applyNumberFormat="1" applyFont="1" applyBorder="1" applyAlignment="1">
      <alignment vertical="center"/>
    </xf>
    <xf numFmtId="0" fontId="10" fillId="39" borderId="7" xfId="0" applyFont="1" applyFill="1" applyBorder="1" applyAlignment="1">
      <alignment horizontal="center" vertical="center" wrapText="1"/>
    </xf>
    <xf numFmtId="41" fontId="0" fillId="0" borderId="2" xfId="2" applyNumberFormat="1" applyFont="1" applyFill="1" applyBorder="1" applyAlignment="1">
      <alignment vertical="center"/>
    </xf>
    <xf numFmtId="164" fontId="0" fillId="0" borderId="0" xfId="2" applyNumberFormat="1" applyFont="1" applyFill="1" applyBorder="1" applyAlignment="1">
      <alignment vertical="center"/>
    </xf>
    <xf numFmtId="0" fontId="0" fillId="0" borderId="2" xfId="0" applyBorder="1" applyAlignment="1">
      <alignment horizontal="center"/>
    </xf>
    <xf numFmtId="0" fontId="0" fillId="0" borderId="0" xfId="0" applyAlignment="1">
      <alignment horizontal="center"/>
    </xf>
    <xf numFmtId="166" fontId="0" fillId="0" borderId="2" xfId="2" applyNumberFormat="1" applyFont="1" applyBorder="1"/>
    <xf numFmtId="166" fontId="0" fillId="0" borderId="2" xfId="0" applyNumberFormat="1" applyBorder="1"/>
    <xf numFmtId="0" fontId="50" fillId="35" borderId="2" xfId="2" applyNumberFormat="1" applyFont="1" applyFill="1" applyBorder="1" applyAlignment="1">
      <alignment horizontal="center" vertical="center" wrapText="1"/>
    </xf>
    <xf numFmtId="0" fontId="10" fillId="39" borderId="7" xfId="0" applyFont="1" applyFill="1" applyBorder="1" applyAlignment="1">
      <alignment horizontal="center" vertical="center" wrapText="1"/>
    </xf>
    <xf numFmtId="2" fontId="0" fillId="0" borderId="0" xfId="0" applyNumberFormat="1"/>
    <xf numFmtId="2" fontId="0" fillId="0" borderId="0" xfId="0" applyNumberFormat="1" applyAlignment="1">
      <alignment horizontal="left" vertical="top"/>
    </xf>
    <xf numFmtId="0" fontId="0" fillId="0" borderId="0" xfId="0" applyNumberFormat="1" applyAlignment="1">
      <alignment horizontal="left" vertical="top"/>
    </xf>
    <xf numFmtId="0" fontId="0" fillId="0" borderId="0" xfId="0" applyNumberFormat="1"/>
    <xf numFmtId="4" fontId="0" fillId="0" borderId="0" xfId="0" applyNumberFormat="1"/>
    <xf numFmtId="43" fontId="42" fillId="0" borderId="0" xfId="0" applyNumberFormat="1" applyFont="1" applyFill="1" applyBorder="1" applyAlignment="1">
      <alignment horizontal="left" vertical="top"/>
    </xf>
    <xf numFmtId="2" fontId="39" fillId="0" borderId="2" xfId="0" applyNumberFormat="1" applyFont="1" applyFill="1" applyBorder="1"/>
    <xf numFmtId="5" fontId="8" fillId="0" borderId="0" xfId="0" applyNumberFormat="1" applyFont="1" applyBorder="1" applyAlignment="1">
      <alignment vertical="center"/>
    </xf>
    <xf numFmtId="0" fontId="76" fillId="0" borderId="0" xfId="0" applyFont="1" applyFill="1" applyBorder="1" applyAlignment="1">
      <alignment vertical="center"/>
    </xf>
    <xf numFmtId="0" fontId="9" fillId="0" borderId="0" xfId="0" applyFont="1" applyFill="1" applyBorder="1" applyAlignment="1">
      <alignment vertical="center" wrapText="1"/>
    </xf>
    <xf numFmtId="169" fontId="9" fillId="0" borderId="0" xfId="1" applyNumberFormat="1" applyFont="1" applyFill="1" applyBorder="1" applyAlignment="1">
      <alignment vertical="center"/>
    </xf>
    <xf numFmtId="2" fontId="39" fillId="0" borderId="2" xfId="0" applyNumberFormat="1" applyFont="1" applyBorder="1"/>
    <xf numFmtId="0" fontId="39" fillId="0" borderId="0" xfId="22" applyFont="1" applyAlignment="1">
      <alignment horizontal="left"/>
    </xf>
    <xf numFmtId="0" fontId="0" fillId="0" borderId="2" xfId="0" applyFont="1" applyBorder="1" applyAlignment="1">
      <alignment horizontal="left"/>
    </xf>
    <xf numFmtId="0" fontId="10" fillId="0" borderId="0" xfId="0" applyFont="1" applyAlignment="1"/>
    <xf numFmtId="0" fontId="0" fillId="0" borderId="2" xfId="0" applyBorder="1" applyAlignment="1">
      <alignment horizontal="left"/>
    </xf>
    <xf numFmtId="2" fontId="10" fillId="0" borderId="2" xfId="0" applyNumberFormat="1" applyFont="1" applyBorder="1" applyAlignment="1">
      <alignment vertical="center"/>
    </xf>
    <xf numFmtId="43" fontId="0" fillId="0" borderId="0" xfId="2" applyFont="1" applyBorder="1" applyAlignment="1">
      <alignment vertical="center"/>
    </xf>
    <xf numFmtId="4" fontId="0" fillId="0" borderId="0" xfId="0" applyNumberFormat="1" applyFont="1" applyAlignment="1">
      <alignment vertical="center"/>
    </xf>
    <xf numFmtId="166" fontId="13" fillId="0" borderId="2" xfId="0" applyNumberFormat="1" applyFont="1" applyBorder="1" applyAlignment="1">
      <alignment horizontal="left" vertical="center"/>
    </xf>
    <xf numFmtId="166" fontId="0" fillId="0" borderId="7" xfId="2" applyNumberFormat="1" applyFont="1" applyBorder="1"/>
    <xf numFmtId="1" fontId="8" fillId="0" borderId="0" xfId="294" applyNumberFormat="1" applyFont="1" applyAlignment="1">
      <alignment vertical="center"/>
    </xf>
    <xf numFmtId="43" fontId="8" fillId="0" borderId="0" xfId="294" applyNumberFormat="1" applyFont="1" applyAlignment="1">
      <alignment vertical="center"/>
    </xf>
    <xf numFmtId="6" fontId="8" fillId="0" borderId="0" xfId="294" applyNumberFormat="1" applyFont="1" applyAlignment="1">
      <alignment vertical="center"/>
    </xf>
    <xf numFmtId="6" fontId="8" fillId="0" borderId="0" xfId="2" applyNumberFormat="1" applyFont="1" applyAlignment="1">
      <alignment vertical="center"/>
    </xf>
    <xf numFmtId="40" fontId="8" fillId="0" borderId="0" xfId="294" applyNumberFormat="1" applyFont="1" applyAlignment="1">
      <alignment vertical="center"/>
    </xf>
    <xf numFmtId="9" fontId="8" fillId="0" borderId="0" xfId="1" applyFont="1" applyAlignment="1">
      <alignment vertical="center"/>
    </xf>
    <xf numFmtId="43" fontId="0" fillId="0" borderId="2" xfId="2" applyNumberFormat="1" applyFont="1" applyBorder="1"/>
    <xf numFmtId="170" fontId="0" fillId="0" borderId="2" xfId="3" applyNumberFormat="1" applyFont="1" applyBorder="1"/>
    <xf numFmtId="170" fontId="10" fillId="0" borderId="2" xfId="2" applyNumberFormat="1" applyFont="1" applyBorder="1"/>
    <xf numFmtId="171" fontId="9" fillId="0" borderId="0" xfId="2" applyNumberFormat="1" applyFont="1" applyFill="1" applyBorder="1" applyAlignment="1">
      <alignment vertical="center"/>
    </xf>
    <xf numFmtId="9" fontId="39" fillId="0" borderId="2" xfId="0" applyNumberFormat="1" applyFont="1" applyBorder="1"/>
    <xf numFmtId="0" fontId="61" fillId="0" borderId="0" xfId="0" applyFont="1" applyFill="1" applyBorder="1" applyAlignment="1">
      <alignment horizontal="left" vertical="center" wrapText="1"/>
    </xf>
    <xf numFmtId="0" fontId="50" fillId="36"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33" borderId="2" xfId="0" applyFont="1" applyFill="1" applyBorder="1" applyAlignment="1">
      <alignment horizontal="center" vertical="center" wrapText="1"/>
    </xf>
    <xf numFmtId="0" fontId="10" fillId="26" borderId="7" xfId="0" applyFont="1" applyFill="1" applyBorder="1" applyAlignment="1">
      <alignment horizontal="center" vertical="center"/>
    </xf>
    <xf numFmtId="0" fontId="10" fillId="26" borderId="3" xfId="0" applyFont="1" applyFill="1" applyBorder="1" applyAlignment="1">
      <alignment horizontal="center" vertical="center"/>
    </xf>
    <xf numFmtId="0" fontId="10" fillId="33" borderId="4" xfId="0" applyFont="1" applyFill="1" applyBorder="1" applyAlignment="1">
      <alignment horizontal="center" vertical="center" wrapText="1"/>
    </xf>
    <xf numFmtId="0" fontId="10" fillId="33" borderId="5" xfId="0" applyFont="1" applyFill="1" applyBorder="1" applyAlignment="1">
      <alignment horizontal="center" vertical="center" wrapText="1"/>
    </xf>
    <xf numFmtId="0" fontId="10" fillId="33" borderId="6" xfId="0" applyFont="1" applyFill="1" applyBorder="1" applyAlignment="1">
      <alignment horizontal="center" vertical="center" wrapText="1"/>
    </xf>
    <xf numFmtId="0" fontId="50" fillId="38" borderId="2" xfId="0" applyFont="1" applyFill="1" applyBorder="1" applyAlignment="1">
      <alignment horizontal="center" vertical="center" wrapText="1"/>
    </xf>
    <xf numFmtId="0" fontId="10" fillId="34" borderId="2" xfId="0" applyFont="1" applyFill="1" applyBorder="1" applyAlignment="1">
      <alignment horizontal="center" vertical="center" wrapText="1"/>
    </xf>
    <xf numFmtId="0" fontId="45" fillId="26" borderId="7" xfId="22" applyFont="1" applyFill="1" applyBorder="1" applyAlignment="1">
      <alignment horizontal="center" vertical="center"/>
    </xf>
    <xf numFmtId="0" fontId="45" fillId="26" borderId="3" xfId="22" applyFont="1" applyFill="1" applyBorder="1" applyAlignment="1">
      <alignment horizontal="center" vertical="center"/>
    </xf>
    <xf numFmtId="0" fontId="44" fillId="26" borderId="7" xfId="22" applyFont="1" applyFill="1" applyBorder="1" applyAlignment="1">
      <alignment horizontal="center" vertical="center" wrapText="1"/>
    </xf>
    <xf numFmtId="0" fontId="44" fillId="26" borderId="3" xfId="22" applyFont="1" applyFill="1" applyBorder="1" applyAlignment="1">
      <alignment horizontal="center" vertical="center" wrapText="1"/>
    </xf>
    <xf numFmtId="166" fontId="50" fillId="35" borderId="4" xfId="2" applyNumberFormat="1" applyFont="1" applyFill="1" applyBorder="1" applyAlignment="1">
      <alignment horizontal="center" vertical="center" wrapText="1"/>
    </xf>
    <xf numFmtId="166" fontId="50" fillId="35" borderId="5" xfId="2" applyNumberFormat="1" applyFont="1" applyFill="1" applyBorder="1" applyAlignment="1">
      <alignment horizontal="center" vertical="center" wrapText="1"/>
    </xf>
    <xf numFmtId="166" fontId="50" fillId="35" borderId="2" xfId="2" applyNumberFormat="1" applyFont="1" applyFill="1" applyBorder="1" applyAlignment="1">
      <alignment horizontal="center" vertical="center" wrapText="1"/>
    </xf>
    <xf numFmtId="0" fontId="10" fillId="26" borderId="2" xfId="0" applyFont="1" applyFill="1" applyBorder="1" applyAlignment="1">
      <alignment horizontal="center" vertical="center"/>
    </xf>
    <xf numFmtId="0" fontId="10" fillId="0" borderId="0" xfId="294" applyFont="1" applyBorder="1" applyAlignment="1">
      <alignment horizontal="right" vertical="center"/>
    </xf>
    <xf numFmtId="0" fontId="10" fillId="26" borderId="7" xfId="294" applyFont="1" applyFill="1" applyBorder="1" applyAlignment="1">
      <alignment horizontal="center" vertical="center" wrapText="1"/>
    </xf>
    <xf numFmtId="0" fontId="10" fillId="26" borderId="3" xfId="294" applyFont="1" applyFill="1" applyBorder="1" applyAlignment="1">
      <alignment horizontal="center" vertical="center" wrapText="1"/>
    </xf>
    <xf numFmtId="0" fontId="55" fillId="0" borderId="0" xfId="294" applyFont="1" applyAlignment="1">
      <alignment horizontal="left" vertical="center" wrapText="1"/>
    </xf>
    <xf numFmtId="0" fontId="10" fillId="26" borderId="7" xfId="299" applyFont="1" applyFill="1" applyBorder="1" applyAlignment="1">
      <alignment horizontal="center" vertical="center" wrapText="1"/>
    </xf>
    <xf numFmtId="0" fontId="10" fillId="26" borderId="3" xfId="299" applyFont="1" applyFill="1" applyBorder="1" applyAlignment="1">
      <alignment horizontal="center" vertical="center" wrapText="1"/>
    </xf>
    <xf numFmtId="0" fontId="10" fillId="34" borderId="4" xfId="0" applyFont="1" applyFill="1" applyBorder="1" applyAlignment="1">
      <alignment horizontal="center" vertical="center" wrapText="1"/>
    </xf>
    <xf numFmtId="0" fontId="10" fillId="34" borderId="6" xfId="0" applyFont="1" applyFill="1" applyBorder="1" applyAlignment="1">
      <alignment horizontal="center" vertical="center" wrapText="1"/>
    </xf>
    <xf numFmtId="0" fontId="10" fillId="26" borderId="7" xfId="0" applyFont="1" applyFill="1" applyBorder="1" applyAlignment="1">
      <alignment horizontal="center" vertical="center" wrapText="1"/>
    </xf>
    <xf numFmtId="0" fontId="10" fillId="26" borderId="3" xfId="0" applyFont="1" applyFill="1" applyBorder="1" applyAlignment="1">
      <alignment horizontal="center" vertical="center" wrapText="1"/>
    </xf>
    <xf numFmtId="0" fontId="37" fillId="0" borderId="21" xfId="0" applyFont="1" applyBorder="1" applyAlignment="1">
      <alignment horizontal="center" vertical="center"/>
    </xf>
    <xf numFmtId="164" fontId="37" fillId="0" borderId="25" xfId="0" applyNumberFormat="1" applyFont="1" applyBorder="1" applyAlignment="1">
      <alignment horizontal="center" vertical="center"/>
    </xf>
    <xf numFmtId="0" fontId="10" fillId="39" borderId="7" xfId="0" applyFont="1" applyFill="1" applyBorder="1" applyAlignment="1">
      <alignment horizontal="center" vertical="center" wrapText="1"/>
    </xf>
    <xf numFmtId="0" fontId="10" fillId="39" borderId="3" xfId="0" applyFont="1" applyFill="1" applyBorder="1" applyAlignment="1">
      <alignment horizontal="center" vertical="center" wrapText="1"/>
    </xf>
    <xf numFmtId="166" fontId="65" fillId="35" borderId="31" xfId="2" applyNumberFormat="1" applyFont="1" applyFill="1" applyBorder="1" applyAlignment="1">
      <alignment horizontal="center" vertical="center" wrapText="1"/>
    </xf>
    <xf numFmtId="166" fontId="65" fillId="35" borderId="29" xfId="2" applyNumberFormat="1" applyFont="1" applyFill="1" applyBorder="1" applyAlignment="1">
      <alignment horizontal="center" vertical="center" wrapText="1"/>
    </xf>
    <xf numFmtId="166" fontId="65" fillId="35" borderId="32" xfId="2" applyNumberFormat="1" applyFont="1" applyFill="1" applyBorder="1" applyAlignment="1">
      <alignment horizontal="center" vertical="center" wrapText="1"/>
    </xf>
    <xf numFmtId="166" fontId="65" fillId="35" borderId="30" xfId="2" applyNumberFormat="1" applyFont="1" applyFill="1" applyBorder="1" applyAlignment="1">
      <alignment horizontal="center" vertical="center" wrapText="1"/>
    </xf>
    <xf numFmtId="0" fontId="37" fillId="0" borderId="22" xfId="0" applyFont="1" applyBorder="1" applyAlignment="1">
      <alignment horizontal="center" vertical="center"/>
    </xf>
    <xf numFmtId="164" fontId="37" fillId="0" borderId="26" xfId="0" applyNumberFormat="1" applyFont="1" applyBorder="1" applyAlignment="1">
      <alignment horizontal="center" vertical="center"/>
    </xf>
    <xf numFmtId="164" fontId="37" fillId="0" borderId="34" xfId="0" applyNumberFormat="1" applyFont="1" applyBorder="1" applyAlignment="1">
      <alignment horizontal="center" vertical="center"/>
    </xf>
    <xf numFmtId="164" fontId="37" fillId="0" borderId="33" xfId="0" applyNumberFormat="1" applyFont="1" applyBorder="1" applyAlignment="1">
      <alignment horizontal="center" vertical="center"/>
    </xf>
    <xf numFmtId="164" fontId="10" fillId="0" borderId="0" xfId="3" applyNumberFormat="1" applyFont="1" applyFill="1" applyBorder="1" applyAlignment="1">
      <alignment horizontal="center" vertical="center" wrapText="1"/>
    </xf>
    <xf numFmtId="0" fontId="10" fillId="26" borderId="2" xfId="291" applyFont="1" applyFill="1" applyBorder="1" applyAlignment="1">
      <alignment horizontal="center" vertical="center" wrapText="1"/>
    </xf>
    <xf numFmtId="10" fontId="10" fillId="26" borderId="2" xfId="1" applyNumberFormat="1" applyFont="1" applyFill="1" applyBorder="1" applyAlignment="1">
      <alignment horizontal="center" vertical="center" wrapText="1"/>
    </xf>
    <xf numFmtId="0" fontId="63" fillId="32" borderId="0" xfId="0" applyFont="1" applyFill="1" applyBorder="1" applyAlignment="1">
      <alignment horizontal="left" vertical="center" wrapText="1"/>
    </xf>
    <xf numFmtId="0" fontId="63" fillId="32" borderId="0" xfId="0" applyFont="1" applyFill="1" applyBorder="1" applyAlignment="1">
      <alignment horizontal="center" vertical="center"/>
    </xf>
  </cellXfs>
  <cellStyles count="330">
    <cellStyle name="%" xfId="283"/>
    <cellStyle name="20% - Accent1 2" xfId="48"/>
    <cellStyle name="20% - Accent1 3" xfId="49"/>
    <cellStyle name="20% - Accent1 4" xfId="50"/>
    <cellStyle name="20% - Accent1 5" xfId="51"/>
    <cellStyle name="20% - Accent1 6" xfId="52"/>
    <cellStyle name="20% - Accent1 7" xfId="329"/>
    <cellStyle name="20% - Accent2 2" xfId="53"/>
    <cellStyle name="20% - Accent2 3" xfId="54"/>
    <cellStyle name="20% - Accent2 4" xfId="55"/>
    <cellStyle name="20% - Accent2 5" xfId="56"/>
    <cellStyle name="20% - Accent2 6" xfId="57"/>
    <cellStyle name="20% - Accent3 2" xfId="58"/>
    <cellStyle name="20% - Accent3 3" xfId="59"/>
    <cellStyle name="20% - Accent3 4" xfId="60"/>
    <cellStyle name="20% - Accent3 5" xfId="61"/>
    <cellStyle name="20% - Accent3 6" xfId="62"/>
    <cellStyle name="20% - Accent3 7" xfId="326"/>
    <cellStyle name="20% - Accent4 2" xfId="63"/>
    <cellStyle name="20% - Accent4 3" xfId="64"/>
    <cellStyle name="20% - Accent4 4" xfId="65"/>
    <cellStyle name="20% - Accent4 5" xfId="66"/>
    <cellStyle name="20% - Accent4 6" xfId="67"/>
    <cellStyle name="20% - Accent5 2" xfId="68"/>
    <cellStyle name="20% - Accent5 3" xfId="69"/>
    <cellStyle name="20% - Accent5 4" xfId="70"/>
    <cellStyle name="20% - Accent5 5" xfId="71"/>
    <cellStyle name="20% - Accent5 6" xfId="72"/>
    <cellStyle name="20% - Accent6 2" xfId="73"/>
    <cellStyle name="20% - Accent6 3" xfId="74"/>
    <cellStyle name="20% - Accent6 4" xfId="75"/>
    <cellStyle name="20% - Accent6 5" xfId="76"/>
    <cellStyle name="20% - Accent6 6" xfId="77"/>
    <cellStyle name="20% - Accent6 7" xfId="327"/>
    <cellStyle name="40% - Accent1 2" xfId="78"/>
    <cellStyle name="40% - Accent1 3" xfId="79"/>
    <cellStyle name="40% - Accent1 4" xfId="80"/>
    <cellStyle name="40% - Accent1 5" xfId="81"/>
    <cellStyle name="40% - Accent1 6" xfId="82"/>
    <cellStyle name="40% - Accent2 2" xfId="83"/>
    <cellStyle name="40% - Accent2 3" xfId="84"/>
    <cellStyle name="40% - Accent2 4" xfId="85"/>
    <cellStyle name="40% - Accent2 5" xfId="86"/>
    <cellStyle name="40% - Accent2 6" xfId="87"/>
    <cellStyle name="40% - Accent3 2" xfId="88"/>
    <cellStyle name="40% - Accent3 3" xfId="89"/>
    <cellStyle name="40% - Accent3 4" xfId="90"/>
    <cellStyle name="40% - Accent3 5" xfId="91"/>
    <cellStyle name="40% - Accent3 6" xfId="92"/>
    <cellStyle name="40% - Accent4 2" xfId="93"/>
    <cellStyle name="40% - Accent4 3" xfId="94"/>
    <cellStyle name="40% - Accent4 4" xfId="95"/>
    <cellStyle name="40% - Accent4 5" xfId="96"/>
    <cellStyle name="40% - Accent4 6" xfId="97"/>
    <cellStyle name="40% - Accent5 2" xfId="98"/>
    <cellStyle name="40% - Accent5 3" xfId="99"/>
    <cellStyle name="40% - Accent5 4" xfId="100"/>
    <cellStyle name="40% - Accent5 5" xfId="101"/>
    <cellStyle name="40% - Accent5 6" xfId="102"/>
    <cellStyle name="40% - Accent6 2" xfId="103"/>
    <cellStyle name="40% - Accent6 3" xfId="104"/>
    <cellStyle name="40% - Accent6 4" xfId="105"/>
    <cellStyle name="40% - Accent6 5" xfId="106"/>
    <cellStyle name="40% - Accent6 6" xfId="107"/>
    <cellStyle name="60% - Accent1 2" xfId="108"/>
    <cellStyle name="60% - Accent1 3" xfId="109"/>
    <cellStyle name="60% - Accent1 4" xfId="110"/>
    <cellStyle name="60% - Accent1 5" xfId="111"/>
    <cellStyle name="60% - Accent1 6" xfId="112"/>
    <cellStyle name="60% - Accent2 2" xfId="113"/>
    <cellStyle name="60% - Accent2 3" xfId="114"/>
    <cellStyle name="60% - Accent2 4" xfId="115"/>
    <cellStyle name="60% - Accent2 5" xfId="116"/>
    <cellStyle name="60% - Accent2 6" xfId="117"/>
    <cellStyle name="60% - Accent3 2" xfId="118"/>
    <cellStyle name="60% - Accent3 3" xfId="119"/>
    <cellStyle name="60% - Accent3 4" xfId="120"/>
    <cellStyle name="60% - Accent3 5" xfId="121"/>
    <cellStyle name="60% - Accent3 6" xfId="122"/>
    <cellStyle name="60% - Accent4 2" xfId="123"/>
    <cellStyle name="60% - Accent4 3" xfId="124"/>
    <cellStyle name="60% - Accent4 4" xfId="125"/>
    <cellStyle name="60% - Accent4 5" xfId="126"/>
    <cellStyle name="60% - Accent4 6" xfId="127"/>
    <cellStyle name="60% - Accent5 2" xfId="128"/>
    <cellStyle name="60% - Accent5 3" xfId="129"/>
    <cellStyle name="60% - Accent5 4" xfId="130"/>
    <cellStyle name="60% - Accent5 5" xfId="131"/>
    <cellStyle name="60% - Accent5 6" xfId="132"/>
    <cellStyle name="60% - Accent6 2" xfId="133"/>
    <cellStyle name="60% - Accent6 3" xfId="134"/>
    <cellStyle name="60% - Accent6 4" xfId="135"/>
    <cellStyle name="60% - Accent6 5" xfId="136"/>
    <cellStyle name="60% - Accent6 6" xfId="137"/>
    <cellStyle name="Accent1 2" xfId="138"/>
    <cellStyle name="Accent1 3" xfId="139"/>
    <cellStyle name="Accent1 4" xfId="140"/>
    <cellStyle name="Accent1 5" xfId="141"/>
    <cellStyle name="Accent1 6" xfId="142"/>
    <cellStyle name="Accent2 2" xfId="143"/>
    <cellStyle name="Accent2 3" xfId="144"/>
    <cellStyle name="Accent2 4" xfId="145"/>
    <cellStyle name="Accent2 5" xfId="146"/>
    <cellStyle name="Accent2 6" xfId="147"/>
    <cellStyle name="Accent3 2" xfId="148"/>
    <cellStyle name="Accent3 3" xfId="149"/>
    <cellStyle name="Accent3 4" xfId="150"/>
    <cellStyle name="Accent3 5" xfId="151"/>
    <cellStyle name="Accent3 6" xfId="152"/>
    <cellStyle name="Accent4 2" xfId="153"/>
    <cellStyle name="Accent4 3" xfId="154"/>
    <cellStyle name="Accent4 4" xfId="155"/>
    <cellStyle name="Accent4 5" xfId="156"/>
    <cellStyle name="Accent4 6" xfId="157"/>
    <cellStyle name="Accent5 2" xfId="158"/>
    <cellStyle name="Accent5 3" xfId="159"/>
    <cellStyle name="Accent5 4" xfId="160"/>
    <cellStyle name="Accent5 5" xfId="161"/>
    <cellStyle name="Accent5 6" xfId="162"/>
    <cellStyle name="Accent6 2" xfId="163"/>
    <cellStyle name="Accent6 3" xfId="164"/>
    <cellStyle name="Accent6 4" xfId="165"/>
    <cellStyle name="Accent6 5" xfId="166"/>
    <cellStyle name="Accent6 6" xfId="167"/>
    <cellStyle name="Bad 2" xfId="168"/>
    <cellStyle name="Bad 3" xfId="169"/>
    <cellStyle name="Bad 4" xfId="170"/>
    <cellStyle name="Bad 5" xfId="171"/>
    <cellStyle name="Bad 6" xfId="172"/>
    <cellStyle name="Calculation 2" xfId="173"/>
    <cellStyle name="Calculation 3" xfId="174"/>
    <cellStyle name="Calculation 4" xfId="175"/>
    <cellStyle name="Calculation 5" xfId="176"/>
    <cellStyle name="Calculation 6" xfId="177"/>
    <cellStyle name="Check Cell 2" xfId="178"/>
    <cellStyle name="Check Cell 3" xfId="179"/>
    <cellStyle name="Check Cell 4" xfId="180"/>
    <cellStyle name="Check Cell 5" xfId="181"/>
    <cellStyle name="Check Cell 6" xfId="182"/>
    <cellStyle name="Comma" xfId="2" builtinId="3"/>
    <cellStyle name="Comma 10" xfId="284"/>
    <cellStyle name="Comma 11" xfId="295"/>
    <cellStyle name="Comma 12" xfId="319"/>
    <cellStyle name="Comma 2" xfId="7"/>
    <cellStyle name="Comma 2 2" xfId="45"/>
    <cellStyle name="Comma 2 3" xfId="183"/>
    <cellStyle name="Comma 2 3 2" xfId="301"/>
    <cellStyle name="Comma 2 4" xfId="184"/>
    <cellStyle name="Comma 2 5" xfId="282"/>
    <cellStyle name="Comma 2 5 2" xfId="292"/>
    <cellStyle name="Comma 2 5 2 2" xfId="302"/>
    <cellStyle name="Comma 2 5 3" xfId="298"/>
    <cellStyle name="Comma 2 5 4" xfId="318"/>
    <cellStyle name="Comma 2 6" xfId="286"/>
    <cellStyle name="Comma 2 6 2" xfId="288"/>
    <cellStyle name="Comma 2 6 2 2" xfId="300"/>
    <cellStyle name="Comma 2 7" xfId="303"/>
    <cellStyle name="Comma 3" xfId="8"/>
    <cellStyle name="Comma 3 2" xfId="46"/>
    <cellStyle name="Comma 3 3" xfId="304"/>
    <cellStyle name="Comma 37" xfId="293"/>
    <cellStyle name="Comma 4" xfId="9"/>
    <cellStyle name="Comma 4 2" xfId="185"/>
    <cellStyle name="Comma 4 3" xfId="305"/>
    <cellStyle name="Comma 5" xfId="10"/>
    <cellStyle name="Comma 5 2" xfId="186"/>
    <cellStyle name="Comma 5 3" xfId="187"/>
    <cellStyle name="Comma 6" xfId="188"/>
    <cellStyle name="Comma 7" xfId="189"/>
    <cellStyle name="Comma 8" xfId="190"/>
    <cellStyle name="Comma 9" xfId="47"/>
    <cellStyle name="Comma0" xfId="191"/>
    <cellStyle name="Currency" xfId="3" builtinId="4"/>
    <cellStyle name="Currency 2" xfId="11"/>
    <cellStyle name="Currency 2 2" xfId="306"/>
    <cellStyle name="Currency 3" xfId="192"/>
    <cellStyle name="Currency 3 2" xfId="193"/>
    <cellStyle name="Currency 4" xfId="290"/>
    <cellStyle name="Currency 4 2" xfId="307"/>
    <cellStyle name="Currency 5" xfId="296"/>
    <cellStyle name="Explanatory Text 2" xfId="194"/>
    <cellStyle name="Explanatory Text 3" xfId="195"/>
    <cellStyle name="Explanatory Text 4" xfId="196"/>
    <cellStyle name="Explanatory Text 5" xfId="197"/>
    <cellStyle name="Explanatory Text 6" xfId="198"/>
    <cellStyle name="Good 2" xfId="199"/>
    <cellStyle name="Good 3" xfId="200"/>
    <cellStyle name="Good 4" xfId="201"/>
    <cellStyle name="Good 5" xfId="202"/>
    <cellStyle name="Good 6" xfId="203"/>
    <cellStyle name="Heading 1 2" xfId="204"/>
    <cellStyle name="Heading 1 3" xfId="205"/>
    <cellStyle name="Heading 1 4" xfId="206"/>
    <cellStyle name="Heading 1 5" xfId="207"/>
    <cellStyle name="Heading 1 6" xfId="208"/>
    <cellStyle name="Heading 2 2" xfId="209"/>
    <cellStyle name="Heading 2 3" xfId="210"/>
    <cellStyle name="Heading 2 4" xfId="211"/>
    <cellStyle name="Heading 2 5" xfId="212"/>
    <cellStyle name="Heading 2 6" xfId="213"/>
    <cellStyle name="Heading 3 2" xfId="214"/>
    <cellStyle name="Heading 3 3" xfId="215"/>
    <cellStyle name="Heading 3 4" xfId="216"/>
    <cellStyle name="Heading 3 5" xfId="217"/>
    <cellStyle name="Heading 3 6" xfId="218"/>
    <cellStyle name="Heading 4 2" xfId="219"/>
    <cellStyle name="Heading 4 3" xfId="220"/>
    <cellStyle name="Heading 4 4" xfId="221"/>
    <cellStyle name="Heading 4 5" xfId="222"/>
    <cellStyle name="Heading 4 6" xfId="223"/>
    <cellStyle name="Input 2" xfId="224"/>
    <cellStyle name="Input 3" xfId="225"/>
    <cellStyle name="Input 4" xfId="226"/>
    <cellStyle name="Input 5" xfId="227"/>
    <cellStyle name="Input 6" xfId="228"/>
    <cellStyle name="Linked Cell 2" xfId="229"/>
    <cellStyle name="Linked Cell 3" xfId="230"/>
    <cellStyle name="Linked Cell 4" xfId="231"/>
    <cellStyle name="Linked Cell 5" xfId="232"/>
    <cellStyle name="Linked Cell 6" xfId="233"/>
    <cellStyle name="Neutral 2" xfId="234"/>
    <cellStyle name="Neutral 3" xfId="235"/>
    <cellStyle name="Neutral 4" xfId="236"/>
    <cellStyle name="Neutral 5" xfId="237"/>
    <cellStyle name="Neutral 6" xfId="238"/>
    <cellStyle name="Normal" xfId="0" builtinId="0"/>
    <cellStyle name="Normal 10" xfId="12"/>
    <cellStyle name="Normal 10 2" xfId="308"/>
    <cellStyle name="Normal 11" xfId="13"/>
    <cellStyle name="Normal 11 2" xfId="309"/>
    <cellStyle name="Normal 12" xfId="14"/>
    <cellStyle name="Normal 12 2" xfId="310"/>
    <cellStyle name="Normal 13" xfId="15"/>
    <cellStyle name="Normal 14" xfId="16"/>
    <cellStyle name="Normal 15" xfId="17"/>
    <cellStyle name="Normal 16" xfId="18"/>
    <cellStyle name="Normal 17" xfId="19"/>
    <cellStyle name="Normal 18" xfId="20"/>
    <cellStyle name="Normal 19" xfId="21"/>
    <cellStyle name="Normal 2" xfId="6"/>
    <cellStyle name="Normal 2 2" xfId="22"/>
    <cellStyle name="Normal 2 2 2" xfId="311"/>
    <cellStyle name="Normal 2 3" xfId="239"/>
    <cellStyle name="Normal 2 4" xfId="240"/>
    <cellStyle name="Normal 2 4 2" xfId="320"/>
    <cellStyle name="Normal 2 5" xfId="281"/>
    <cellStyle name="Normal 2 5 2" xfId="291"/>
    <cellStyle name="Normal 2 5 3" xfId="297"/>
    <cellStyle name="Normal 2 6" xfId="285"/>
    <cellStyle name="Normal 2 6 2" xfId="287"/>
    <cellStyle name="Normal 2 6 2 2" xfId="299"/>
    <cellStyle name="Normal 2 7" xfId="312"/>
    <cellStyle name="Normal 2 8" xfId="328"/>
    <cellStyle name="Normal 20" xfId="23"/>
    <cellStyle name="Normal 21" xfId="24"/>
    <cellStyle name="Normal 22" xfId="25"/>
    <cellStyle name="Normal 23" xfId="26"/>
    <cellStyle name="Normal 24" xfId="27"/>
    <cellStyle name="Normal 25" xfId="28"/>
    <cellStyle name="Normal 26" xfId="29"/>
    <cellStyle name="Normal 27" xfId="30"/>
    <cellStyle name="Normal 28" xfId="31"/>
    <cellStyle name="Normal 29" xfId="32"/>
    <cellStyle name="Normal 3" xfId="5"/>
    <cellStyle name="Normal 3 2" xfId="241"/>
    <cellStyle name="Normal 3 3" xfId="242"/>
    <cellStyle name="Normal 3 4" xfId="243"/>
    <cellStyle name="Normal 3 5" xfId="313"/>
    <cellStyle name="Normal 30" xfId="33"/>
    <cellStyle name="Normal 31" xfId="34"/>
    <cellStyle name="Normal 32" xfId="35"/>
    <cellStyle name="Normal 33" xfId="36"/>
    <cellStyle name="Normal 34" xfId="37"/>
    <cellStyle name="Normal 35" xfId="294"/>
    <cellStyle name="Normal 36" xfId="321"/>
    <cellStyle name="Normal 37" xfId="322"/>
    <cellStyle name="Normal 38" xfId="323"/>
    <cellStyle name="Normal 39" xfId="324"/>
    <cellStyle name="Normal 4" xfId="4"/>
    <cellStyle name="Normal 4 2" xfId="244"/>
    <cellStyle name="Normal 4_STCIMF TCTF Handout v3" xfId="245"/>
    <cellStyle name="Normal 5" xfId="38"/>
    <cellStyle name="Normal 6" xfId="39"/>
    <cellStyle name="Normal 7" xfId="40"/>
    <cellStyle name="Normal 7 2" xfId="246"/>
    <cellStyle name="Normal 8" xfId="41"/>
    <cellStyle name="Normal 8 2" xfId="247"/>
    <cellStyle name="Normal 9" xfId="42"/>
    <cellStyle name="Note 2" xfId="248"/>
    <cellStyle name="Note 3" xfId="249"/>
    <cellStyle name="Note 4" xfId="250"/>
    <cellStyle name="Note 5" xfId="251"/>
    <cellStyle name="Note 6" xfId="252"/>
    <cellStyle name="Output 2" xfId="253"/>
    <cellStyle name="Output 3" xfId="254"/>
    <cellStyle name="Output 4" xfId="255"/>
    <cellStyle name="Output 5" xfId="256"/>
    <cellStyle name="Output 6" xfId="257"/>
    <cellStyle name="Output Amounts" xfId="258"/>
    <cellStyle name="Output Column Headings" xfId="259"/>
    <cellStyle name="Output Line Items" xfId="260"/>
    <cellStyle name="Output Report Heading" xfId="261"/>
    <cellStyle name="Output Report Title" xfId="262"/>
    <cellStyle name="Percent" xfId="1" builtinId="5"/>
    <cellStyle name="Percent 2" xfId="43"/>
    <cellStyle name="Percent 2 2" xfId="263"/>
    <cellStyle name="Percent 2 3" xfId="264"/>
    <cellStyle name="Percent 2 4" xfId="289"/>
    <cellStyle name="Percent 3" xfId="44"/>
    <cellStyle name="Percent 3 2" xfId="314"/>
    <cellStyle name="Percent 4" xfId="265"/>
    <cellStyle name="Percent 4 2" xfId="315"/>
    <cellStyle name="Percent 5" xfId="316"/>
    <cellStyle name="Percent 6" xfId="317"/>
    <cellStyle name="Percent 7" xfId="325"/>
    <cellStyle name="Title 2" xfId="266"/>
    <cellStyle name="Title 3" xfId="267"/>
    <cellStyle name="Title 4" xfId="268"/>
    <cellStyle name="Title 5" xfId="269"/>
    <cellStyle name="Title 6" xfId="270"/>
    <cellStyle name="Total 2" xfId="271"/>
    <cellStyle name="Total 3" xfId="272"/>
    <cellStyle name="Total 4" xfId="273"/>
    <cellStyle name="Total 5" xfId="274"/>
    <cellStyle name="Total 6" xfId="275"/>
    <cellStyle name="Warning Text 2" xfId="276"/>
    <cellStyle name="Warning Text 3" xfId="277"/>
    <cellStyle name="Warning Text 4" xfId="278"/>
    <cellStyle name="Warning Text 5" xfId="279"/>
    <cellStyle name="Warning Text 6" xfId="280"/>
  </cellStyles>
  <dxfs count="3">
    <dxf>
      <font>
        <condense val="0"/>
        <extend val="0"/>
        <color rgb="FF9C0006"/>
      </font>
      <fill>
        <patternFill>
          <bgColor rgb="FFFFC7CE"/>
        </patternFill>
      </fill>
    </dxf>
    <dxf>
      <fill>
        <patternFill>
          <bgColor theme="9" tint="0.59996337778862885"/>
        </patternFill>
      </fill>
    </dxf>
    <dxf>
      <font>
        <condense val="0"/>
        <extend val="0"/>
        <color rgb="FF9C0006"/>
      </font>
      <fill>
        <patternFill>
          <bgColor rgb="FFFFC7CE"/>
        </patternFill>
      </fill>
    </dxf>
  </dxfs>
  <tableStyles count="0" defaultTableStyle="TableStyleMedium9" defaultPivotStyle="PivotStyleLight16"/>
  <colors>
    <mruColors>
      <color rgb="FF6EBBD0"/>
      <color rgb="FF5AB2CA"/>
      <color rgb="FF3593A9"/>
      <color rgb="FF2F7E91"/>
      <color rgb="FFFFFFCC"/>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calcChain" Target="calcChain.xml"/><Relationship Id="rId30"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PPS\Hysoft\Finance\Bud0203\Hyperion%20reports\QFR%20Repor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Simpson\Application%20Data\Microsoft\Excel\1%25%20cap%20reduction\1%25%20calculation%20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Finance\BUDGET\Users\Peralta\TC-145\TC-145-2009-01-Final-unprotected1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jcc\aocdata\EOP\OCR\Research%20&amp;%20Analysis\Workload\Staff\RAS%20Model%20Updates\Reassess%20model%20parameters\Finance%20dollar%20conversion\RAS%20I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jcc\aocdata\Finance\BUDGET\Users\Simpson\Revenue\FY%202013-14%20TCTF%20Projections\2013TCTF%20Revenue%20Projection_06DecColl%202014021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cc\aocdata\Finance\BUDGET\BDTSU\Annual%20Report%20to%20Legislature\FY%202008-09\Allocation%20Report\KP-AllocationsReimb-MOD-FY2008-No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cc\aocdata\Finance\BUDGET\Users\Simpson\Funding%20Models\5%20year%20Special%20Funds%20funding%20detai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Finance\BUDGET\BDTSU\Revenue\10Rs\TCTF\FY%2009-10\TCTF%20May%20Revise%20Final_042309.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Documents%20and%20Settings\jleibowitz\Local%20Settings\Temporary%20Internet%20Files\OLK178\TC-145%20effective%20Jan%201%2009_JLP%20010709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QFR Quarter by Quarter"/>
      <sheetName val="QFR Year by Year"/>
      <sheetName val="QFR Report Year to Year"/>
      <sheetName val="QFR by court and accounts"/>
      <sheetName val="State vs. Total Revenue"/>
      <sheetName val="QFR by Account, court, quarters"/>
      <sheetName val="Judges S&amp;B"/>
      <sheetName val="QFR Interpreters by court"/>
      <sheetName val="QFR Indirect Costs by court "/>
      <sheetName val="QFR Total Exp by court"/>
      <sheetName val="Security"/>
      <sheetName val="Salaries &amp; Benefits"/>
      <sheetName val="Benefit by court "/>
      <sheetName val="Salaries by court"/>
      <sheetName val="Salaries &amp; Benefit by court"/>
      <sheetName val="1H WAFM Funding Need"/>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 1% Calculation"/>
      <sheetName val="B1- Restricted Rev Detail"/>
      <sheetName val="B2 - Restricted Rev Description"/>
      <sheetName val="1% Calc Sample other"/>
      <sheetName val="Combo Box"/>
    </sheetNames>
    <sheetDataSet>
      <sheetData sheetId="0" refreshError="1"/>
      <sheetData sheetId="1">
        <row r="33">
          <cell r="D33">
            <v>0</v>
          </cell>
        </row>
      </sheetData>
      <sheetData sheetId="2" refreshError="1"/>
      <sheetData sheetId="3" refreshError="1"/>
      <sheetData sheetId="4">
        <row r="2">
          <cell r="A2" t="str">
            <v>General Fund -- TCTF</v>
          </cell>
          <cell r="B2" t="str">
            <v>Please select your court from the list</v>
          </cell>
          <cell r="C2" t="str">
            <v>Please select the fiscal year from the list</v>
          </cell>
          <cell r="D2" t="str">
            <v>B&amp;P 470.5</v>
          </cell>
        </row>
        <row r="3">
          <cell r="A3" t="str">
            <v>General Fund -- Non-TCTF</v>
          </cell>
          <cell r="B3" t="str">
            <v>Superior Court - Alameda</v>
          </cell>
          <cell r="C3" t="str">
            <v>as of June 30, 2014</v>
          </cell>
          <cell r="D3" t="str">
            <v>CCP 116.230</v>
          </cell>
        </row>
        <row r="4">
          <cell r="A4" t="str">
            <v>Special Revenue Non-Grant</v>
          </cell>
          <cell r="B4" t="str">
            <v>Superior Court - Alpine</v>
          </cell>
          <cell r="C4" t="str">
            <v>as of June 30, 2015</v>
          </cell>
          <cell r="D4" t="str">
            <v>GC 13963(f)</v>
          </cell>
        </row>
        <row r="5">
          <cell r="A5" t="str">
            <v>Capital Project</v>
          </cell>
          <cell r="B5" t="str">
            <v>Superior Court - Amador</v>
          </cell>
          <cell r="C5" t="str">
            <v>as of June 30, 2016</v>
          </cell>
          <cell r="D5" t="str">
            <v>GC 26731</v>
          </cell>
        </row>
        <row r="6">
          <cell r="B6" t="str">
            <v>Superior Court - Butte</v>
          </cell>
          <cell r="C6" t="str">
            <v>as of June 30, 2017</v>
          </cell>
          <cell r="D6" t="str">
            <v>GC 26863</v>
          </cell>
        </row>
        <row r="7">
          <cell r="B7" t="str">
            <v>Superior Court - Calaveras</v>
          </cell>
          <cell r="C7" t="str">
            <v>as of June 30, 2018</v>
          </cell>
          <cell r="D7" t="str">
            <v>GC 27361.4</v>
          </cell>
        </row>
        <row r="8">
          <cell r="B8" t="str">
            <v>Superior Court - Colusa</v>
          </cell>
          <cell r="C8" t="str">
            <v>as of June 30, 2019</v>
          </cell>
          <cell r="D8" t="str">
            <v>GC 66006</v>
          </cell>
        </row>
        <row r="9">
          <cell r="B9" t="str">
            <v>Superior Court - Contra Costa</v>
          </cell>
          <cell r="C9" t="str">
            <v>as of June 30, 2020</v>
          </cell>
          <cell r="D9" t="str">
            <v>GC 68090.8</v>
          </cell>
        </row>
        <row r="10">
          <cell r="B10" t="str">
            <v>Superior Court - Del Norte</v>
          </cell>
          <cell r="D10" t="str">
            <v>GC 70640</v>
          </cell>
        </row>
        <row r="11">
          <cell r="B11" t="str">
            <v>Superior Court - El Dorado</v>
          </cell>
          <cell r="D11" t="str">
            <v>GC 70678</v>
          </cell>
        </row>
        <row r="12">
          <cell r="B12" t="str">
            <v>Superior Court - Fresno</v>
          </cell>
          <cell r="D12" t="str">
            <v>GC 76223</v>
          </cell>
        </row>
        <row r="13">
          <cell r="B13" t="str">
            <v>Superior Court - Glenn</v>
          </cell>
          <cell r="D13" t="str">
            <v>GC 77207.5(b)</v>
          </cell>
        </row>
        <row r="14">
          <cell r="B14" t="str">
            <v>Superior Court - Humboldt</v>
          </cell>
          <cell r="D14" t="str">
            <v>GC 77209(h)</v>
          </cell>
        </row>
        <row r="15">
          <cell r="B15" t="str">
            <v>Superior Court - Imperial</v>
          </cell>
          <cell r="D15" t="str">
            <v>Penal Code 1027</v>
          </cell>
        </row>
        <row r="16">
          <cell r="B16" t="str">
            <v>Superior Court - Inyo</v>
          </cell>
          <cell r="D16" t="str">
            <v>Penal Code 1463.007</v>
          </cell>
        </row>
        <row r="17">
          <cell r="B17" t="str">
            <v>Superior Court - Kern</v>
          </cell>
          <cell r="D17" t="str">
            <v>Penal Code 1463.22(a)</v>
          </cell>
        </row>
        <row r="18">
          <cell r="B18" t="str">
            <v>Superior Court - Kings</v>
          </cell>
          <cell r="D18" t="str">
            <v>Penal Code 4750</v>
          </cell>
        </row>
        <row r="19">
          <cell r="B19" t="str">
            <v>Superior Court - Lake</v>
          </cell>
          <cell r="D19" t="str">
            <v>Penal Code 6005</v>
          </cell>
        </row>
        <row r="20">
          <cell r="B20" t="str">
            <v>Superior Court - Lassen</v>
          </cell>
          <cell r="D20" t="str">
            <v>VC 11205.2</v>
          </cell>
        </row>
        <row r="21">
          <cell r="B21" t="str">
            <v>Superior Court - Los Angeles</v>
          </cell>
          <cell r="D21" t="str">
            <v>VC 40508.6</v>
          </cell>
        </row>
        <row r="22">
          <cell r="B22" t="str">
            <v>Superior Court - Madera</v>
          </cell>
        </row>
        <row r="23">
          <cell r="B23" t="str">
            <v>Superior Court - Marin</v>
          </cell>
        </row>
        <row r="24">
          <cell r="B24" t="str">
            <v>Superior Court - Mariposa</v>
          </cell>
        </row>
        <row r="25">
          <cell r="B25" t="str">
            <v>Superior Court - Mendocino</v>
          </cell>
        </row>
        <row r="26">
          <cell r="B26" t="str">
            <v>Superior Court - Merced</v>
          </cell>
        </row>
        <row r="27">
          <cell r="B27" t="str">
            <v>Superior Court - Modoc</v>
          </cell>
        </row>
        <row r="28">
          <cell r="B28" t="str">
            <v>Superior Court - Mono</v>
          </cell>
        </row>
        <row r="29">
          <cell r="B29" t="str">
            <v>Superior Court - Monterey</v>
          </cell>
        </row>
        <row r="30">
          <cell r="B30" t="str">
            <v>Superior Court - Napa</v>
          </cell>
        </row>
        <row r="31">
          <cell r="B31" t="str">
            <v>Superior Court - Nevada</v>
          </cell>
        </row>
        <row r="32">
          <cell r="B32" t="str">
            <v>Superior Court - Orange</v>
          </cell>
        </row>
        <row r="33">
          <cell r="B33" t="str">
            <v>Superior Court - Placer</v>
          </cell>
        </row>
        <row r="34">
          <cell r="B34" t="str">
            <v>Superior Court - Plumas</v>
          </cell>
        </row>
        <row r="35">
          <cell r="B35" t="str">
            <v>Superior Court - Riverside</v>
          </cell>
        </row>
        <row r="36">
          <cell r="B36" t="str">
            <v>Superior Court - Sacramento</v>
          </cell>
        </row>
        <row r="37">
          <cell r="B37" t="str">
            <v>Superior Court - San Benito</v>
          </cell>
        </row>
        <row r="38">
          <cell r="B38" t="str">
            <v>Superior Court - San Bernardino</v>
          </cell>
        </row>
        <row r="39">
          <cell r="B39" t="str">
            <v>Superior Court - San Diego</v>
          </cell>
        </row>
        <row r="40">
          <cell r="B40" t="str">
            <v>Superior Court - San Francisco</v>
          </cell>
        </row>
        <row r="41">
          <cell r="B41" t="str">
            <v>Superior Court - San Joaquin</v>
          </cell>
        </row>
        <row r="42">
          <cell r="B42" t="str">
            <v>Superior Court - San Luis Obispo</v>
          </cell>
        </row>
        <row r="43">
          <cell r="B43" t="str">
            <v>Superior Court - San Mateo</v>
          </cell>
        </row>
        <row r="44">
          <cell r="B44" t="str">
            <v>Superior Court - Santa Barbara</v>
          </cell>
        </row>
        <row r="45">
          <cell r="B45" t="str">
            <v>Superior Court - Santa Clara</v>
          </cell>
        </row>
        <row r="46">
          <cell r="B46" t="str">
            <v>Superior Court - Santa Cruz</v>
          </cell>
        </row>
        <row r="47">
          <cell r="B47" t="str">
            <v>Superior Court - Shasta</v>
          </cell>
        </row>
        <row r="48">
          <cell r="B48" t="str">
            <v>Superior Court - Sierra</v>
          </cell>
        </row>
        <row r="49">
          <cell r="B49" t="str">
            <v>Superior Court - Siskiyou</v>
          </cell>
        </row>
        <row r="50">
          <cell r="B50" t="str">
            <v>Superior Court - Solano</v>
          </cell>
        </row>
        <row r="51">
          <cell r="B51" t="str">
            <v>Superior Court - Sonoma</v>
          </cell>
        </row>
        <row r="52">
          <cell r="B52" t="str">
            <v>Superior Court - Stanislaus</v>
          </cell>
        </row>
        <row r="53">
          <cell r="B53" t="str">
            <v>Superior Court - Sutter</v>
          </cell>
        </row>
        <row r="54">
          <cell r="B54" t="str">
            <v>Superior Court - Tehama</v>
          </cell>
        </row>
        <row r="55">
          <cell r="B55" t="str">
            <v>Superior Court - Trinity</v>
          </cell>
        </row>
        <row r="56">
          <cell r="B56" t="str">
            <v>Superior Court - Tulare</v>
          </cell>
        </row>
        <row r="57">
          <cell r="B57" t="str">
            <v>Superior Court - Tuolumne</v>
          </cell>
        </row>
        <row r="58">
          <cell r="B58" t="str">
            <v>Superior Court - Ventura</v>
          </cell>
        </row>
        <row r="59">
          <cell r="B59" t="str">
            <v>Superior Court - Yolo</v>
          </cell>
        </row>
        <row r="60">
          <cell r="B60" t="str">
            <v>Superior Court - Yuba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Schedule D Instructions"/>
      <sheetName val="Schedule D"/>
      <sheetName val="Schedule F Instructions"/>
      <sheetName val="Schedule F"/>
      <sheetName val="Certification"/>
      <sheetName val="Code"/>
    </sheetNames>
    <sheetDataSet>
      <sheetData sheetId="0"/>
      <sheetData sheetId="1"/>
      <sheetData sheetId="2"/>
      <sheetData sheetId="3">
        <row r="7">
          <cell r="A7">
            <v>1</v>
          </cell>
        </row>
      </sheetData>
      <sheetData sheetId="4"/>
      <sheetData sheetId="5"/>
      <sheetData sheetId="6"/>
      <sheetData sheetId="7"/>
      <sheetData sheetId="8"/>
      <sheetData sheetId="9">
        <row r="1">
          <cell r="B1" t="str">
            <v>PICK YOUR COURT FROM THIS LIST</v>
          </cell>
        </row>
        <row r="2">
          <cell r="B2" t="str">
            <v>Superior Court - Alameda</v>
          </cell>
        </row>
        <row r="3">
          <cell r="B3" t="str">
            <v>Superior Court - Alpine</v>
          </cell>
        </row>
        <row r="4">
          <cell r="B4" t="str">
            <v>Superior Court - Amador</v>
          </cell>
        </row>
        <row r="5">
          <cell r="B5" t="str">
            <v>Superior Court - Butte</v>
          </cell>
        </row>
        <row r="6">
          <cell r="B6" t="str">
            <v>Superior Court - Calaveras</v>
          </cell>
        </row>
        <row r="7">
          <cell r="B7" t="str">
            <v>Superior Court - Colusa</v>
          </cell>
        </row>
        <row r="8">
          <cell r="B8" t="str">
            <v>Superior Court - Contra Costa</v>
          </cell>
        </row>
        <row r="9">
          <cell r="B9" t="str">
            <v>Superior Court - Del Norte</v>
          </cell>
        </row>
        <row r="10">
          <cell r="B10" t="str">
            <v>Superior Court - El Dorado</v>
          </cell>
        </row>
        <row r="11">
          <cell r="B11" t="str">
            <v>Superior Court - Fresno</v>
          </cell>
        </row>
        <row r="12">
          <cell r="B12" t="str">
            <v>Superior Court - Glenn</v>
          </cell>
        </row>
        <row r="13">
          <cell r="B13" t="str">
            <v>Superior Court - Humboldt</v>
          </cell>
        </row>
        <row r="14">
          <cell r="B14" t="str">
            <v>Superior Court - Imperial</v>
          </cell>
        </row>
        <row r="15">
          <cell r="B15" t="str">
            <v>Superior Court - Inyo</v>
          </cell>
        </row>
        <row r="16">
          <cell r="B16" t="str">
            <v>Superior Court - Kern</v>
          </cell>
        </row>
        <row r="17">
          <cell r="B17" t="str">
            <v>Superior Court - Kings</v>
          </cell>
        </row>
        <row r="18">
          <cell r="B18" t="str">
            <v>Superior Court - Lake</v>
          </cell>
        </row>
        <row r="19">
          <cell r="B19" t="str">
            <v>Superior Court - Lassen</v>
          </cell>
        </row>
        <row r="20">
          <cell r="B20" t="str">
            <v>Superior Court - Los Angeles</v>
          </cell>
        </row>
        <row r="21">
          <cell r="B21" t="str">
            <v>Superior Court - Madera</v>
          </cell>
        </row>
        <row r="22">
          <cell r="B22" t="str">
            <v>Superior Court - Marin</v>
          </cell>
        </row>
        <row r="23">
          <cell r="B23" t="str">
            <v>Superior Court - Mariposa</v>
          </cell>
        </row>
        <row r="24">
          <cell r="B24" t="str">
            <v>Superior Court - Mendocino</v>
          </cell>
        </row>
        <row r="25">
          <cell r="B25" t="str">
            <v>Superior Court - Merced</v>
          </cell>
        </row>
        <row r="26">
          <cell r="B26" t="str">
            <v>Superior Court - Modoc</v>
          </cell>
        </row>
        <row r="27">
          <cell r="B27" t="str">
            <v>Superior Court - Mono</v>
          </cell>
        </row>
        <row r="28">
          <cell r="B28" t="str">
            <v>Superior Court - Monterey</v>
          </cell>
        </row>
        <row r="29">
          <cell r="B29" t="str">
            <v>Superior Court - Napa</v>
          </cell>
        </row>
        <row r="30">
          <cell r="B30" t="str">
            <v>Superior Court - Nevada</v>
          </cell>
        </row>
        <row r="31">
          <cell r="B31" t="str">
            <v>Superior Court - Orange</v>
          </cell>
        </row>
        <row r="32">
          <cell r="B32" t="str">
            <v>Superior Court - Placer</v>
          </cell>
        </row>
        <row r="33">
          <cell r="B33" t="str">
            <v>Superior Court - Plumas</v>
          </cell>
        </row>
        <row r="34">
          <cell r="B34" t="str">
            <v>Superior Court - Riverside</v>
          </cell>
        </row>
        <row r="35">
          <cell r="B35" t="str">
            <v>Superior Court - Sacramento</v>
          </cell>
        </row>
        <row r="36">
          <cell r="B36" t="str">
            <v>Superior Court - San Benito</v>
          </cell>
        </row>
        <row r="37">
          <cell r="B37" t="str">
            <v>Superior Court - San Bernardino</v>
          </cell>
        </row>
        <row r="38">
          <cell r="B38" t="str">
            <v>Superior Court - San Diego</v>
          </cell>
        </row>
        <row r="39">
          <cell r="B39" t="str">
            <v>Superior Court - San Francisco</v>
          </cell>
        </row>
        <row r="40">
          <cell r="B40" t="str">
            <v>Superior Court - San Joaquin</v>
          </cell>
        </row>
        <row r="41">
          <cell r="B41" t="str">
            <v>Superior Court - San Luis Obispo</v>
          </cell>
        </row>
        <row r="42">
          <cell r="B42" t="str">
            <v>Superior Court - San Mateo</v>
          </cell>
        </row>
        <row r="43">
          <cell r="B43" t="str">
            <v>Superior Court - Santa Barbara</v>
          </cell>
        </row>
        <row r="44">
          <cell r="B44" t="str">
            <v>Superior Court - Santa Clara</v>
          </cell>
        </row>
        <row r="45">
          <cell r="B45" t="str">
            <v>Superior Court - Santa Cruz</v>
          </cell>
        </row>
        <row r="46">
          <cell r="B46" t="str">
            <v>Superior Court - Shasta</v>
          </cell>
        </row>
        <row r="47">
          <cell r="B47" t="str">
            <v>Superior Court - Sierra</v>
          </cell>
        </row>
        <row r="48">
          <cell r="B48" t="str">
            <v>Superior Court - Siskiyou</v>
          </cell>
        </row>
        <row r="49">
          <cell r="B49" t="str">
            <v>Superior Court - Solano</v>
          </cell>
        </row>
        <row r="50">
          <cell r="B50" t="str">
            <v>Superior Court - Sonoma</v>
          </cell>
        </row>
        <row r="51">
          <cell r="B51" t="str">
            <v>Superior Court - Stanislaus</v>
          </cell>
        </row>
        <row r="52">
          <cell r="B52" t="str">
            <v>Superior Court - Sutter</v>
          </cell>
        </row>
        <row r="53">
          <cell r="B53" t="str">
            <v>Superior Court - Tehama</v>
          </cell>
        </row>
        <row r="54">
          <cell r="B54" t="str">
            <v>Superior Court - Trinity</v>
          </cell>
        </row>
        <row r="55">
          <cell r="B55" t="str">
            <v>Superior Court - Tulare</v>
          </cell>
        </row>
        <row r="56">
          <cell r="B56" t="str">
            <v>Superior Court - Tuolumne</v>
          </cell>
        </row>
        <row r="57">
          <cell r="B57" t="str">
            <v>Superior Court - Ventura</v>
          </cell>
        </row>
        <row r="58">
          <cell r="B58" t="str">
            <v>Superior Court - Yolo</v>
          </cell>
        </row>
        <row r="59">
          <cell r="B59" t="str">
            <v>Superior Court - Yuba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1"/>
      <sheetName val="TCTF"/>
      <sheetName val="All funding sources"/>
      <sheetName val="OEE"/>
      <sheetName val="expenditure"/>
    </sheetNames>
    <sheetDataSet>
      <sheetData sheetId="0"/>
      <sheetData sheetId="1"/>
      <sheetData sheetId="2"/>
      <sheetData sheetId="3">
        <row r="4">
          <cell r="B4">
            <v>1</v>
          </cell>
          <cell r="C4">
            <v>36933</v>
          </cell>
        </row>
        <row r="5">
          <cell r="B5">
            <v>2</v>
          </cell>
          <cell r="C5">
            <v>21861</v>
          </cell>
        </row>
        <row r="6">
          <cell r="B6">
            <v>3</v>
          </cell>
          <cell r="C6">
            <v>20343</v>
          </cell>
        </row>
        <row r="7">
          <cell r="B7">
            <v>4</v>
          </cell>
          <cell r="C7">
            <v>17454</v>
          </cell>
        </row>
        <row r="12">
          <cell r="B12">
            <v>1</v>
          </cell>
          <cell r="C12">
            <v>40042</v>
          </cell>
        </row>
        <row r="13">
          <cell r="B13">
            <v>2</v>
          </cell>
          <cell r="C13">
            <v>24970</v>
          </cell>
        </row>
        <row r="14">
          <cell r="B14">
            <v>3</v>
          </cell>
          <cell r="C14">
            <v>23452</v>
          </cell>
        </row>
        <row r="15">
          <cell r="B15">
            <v>4</v>
          </cell>
          <cell r="C15">
            <v>20564</v>
          </cell>
        </row>
        <row r="45">
          <cell r="B45">
            <v>1</v>
          </cell>
          <cell r="C45">
            <v>43150</v>
          </cell>
        </row>
        <row r="46">
          <cell r="B46">
            <v>2</v>
          </cell>
          <cell r="C46">
            <v>27437</v>
          </cell>
        </row>
        <row r="47">
          <cell r="B47">
            <v>3</v>
          </cell>
          <cell r="C47">
            <v>28228</v>
          </cell>
        </row>
        <row r="48">
          <cell r="B48">
            <v>4</v>
          </cell>
          <cell r="C48">
            <v>25404</v>
          </cell>
        </row>
      </sheetData>
      <sheetData sheetId="4">
        <row r="5">
          <cell r="A5" t="str">
            <v>Alameda</v>
          </cell>
          <cell r="B5">
            <v>74556770</v>
          </cell>
          <cell r="C5">
            <v>16350926</v>
          </cell>
          <cell r="D5">
            <v>90907696</v>
          </cell>
          <cell r="E5">
            <v>76241396</v>
          </cell>
          <cell r="F5">
            <v>17154800</v>
          </cell>
          <cell r="G5">
            <v>93396196</v>
          </cell>
        </row>
        <row r="6">
          <cell r="A6" t="str">
            <v>Alpine</v>
          </cell>
          <cell r="B6">
            <v>290174</v>
          </cell>
          <cell r="C6">
            <v>207360</v>
          </cell>
          <cell r="D6">
            <v>497534</v>
          </cell>
          <cell r="E6">
            <v>290174</v>
          </cell>
          <cell r="F6">
            <v>216036</v>
          </cell>
          <cell r="G6">
            <v>506210</v>
          </cell>
        </row>
        <row r="7">
          <cell r="A7" t="str">
            <v>Amador</v>
          </cell>
          <cell r="B7">
            <v>2204121</v>
          </cell>
          <cell r="C7">
            <v>605212</v>
          </cell>
          <cell r="D7">
            <v>2809333</v>
          </cell>
          <cell r="E7">
            <v>2239416</v>
          </cell>
          <cell r="F7">
            <v>617967</v>
          </cell>
          <cell r="G7">
            <v>2857382</v>
          </cell>
        </row>
        <row r="8">
          <cell r="A8" t="str">
            <v>Butte</v>
          </cell>
          <cell r="B8">
            <v>8011539</v>
          </cell>
          <cell r="C8">
            <v>2688135</v>
          </cell>
          <cell r="D8">
            <v>10699674</v>
          </cell>
          <cell r="E8">
            <v>8474711</v>
          </cell>
          <cell r="F8">
            <v>2791561</v>
          </cell>
          <cell r="G8">
            <v>11266272</v>
          </cell>
        </row>
        <row r="9">
          <cell r="A9" t="str">
            <v>Calaveras</v>
          </cell>
          <cell r="B9">
            <v>2020542</v>
          </cell>
          <cell r="C9">
            <v>688788</v>
          </cell>
          <cell r="D9">
            <v>2709330</v>
          </cell>
          <cell r="E9">
            <v>2190802</v>
          </cell>
          <cell r="F9">
            <v>798754</v>
          </cell>
          <cell r="G9">
            <v>2989556</v>
          </cell>
        </row>
        <row r="10">
          <cell r="A10" t="str">
            <v>Colusa</v>
          </cell>
          <cell r="B10">
            <v>1117307</v>
          </cell>
          <cell r="C10">
            <v>775979</v>
          </cell>
          <cell r="D10">
            <v>1893285</v>
          </cell>
          <cell r="E10">
            <v>1117307</v>
          </cell>
          <cell r="F10">
            <v>775979</v>
          </cell>
          <cell r="G10">
            <v>1893285</v>
          </cell>
        </row>
        <row r="11">
          <cell r="A11" t="str">
            <v>Contra Costa</v>
          </cell>
          <cell r="B11">
            <v>38028992</v>
          </cell>
          <cell r="C11">
            <v>12120556</v>
          </cell>
          <cell r="D11">
            <v>50149548</v>
          </cell>
          <cell r="E11">
            <v>38683228</v>
          </cell>
          <cell r="F11">
            <v>14772859</v>
          </cell>
          <cell r="G11">
            <v>53456087</v>
          </cell>
        </row>
        <row r="12">
          <cell r="A12" t="str">
            <v>Del Norte</v>
          </cell>
          <cell r="B12">
            <v>2234213</v>
          </cell>
          <cell r="C12">
            <v>921063</v>
          </cell>
          <cell r="D12">
            <v>3155276</v>
          </cell>
          <cell r="E12">
            <v>2234213</v>
          </cell>
          <cell r="F12">
            <v>1081331</v>
          </cell>
          <cell r="G12">
            <v>3315543</v>
          </cell>
        </row>
        <row r="13">
          <cell r="A13" t="str">
            <v>El Dorado</v>
          </cell>
          <cell r="B13">
            <v>6757143</v>
          </cell>
          <cell r="C13">
            <v>2038210</v>
          </cell>
          <cell r="D13">
            <v>8795353</v>
          </cell>
          <cell r="E13">
            <v>6829411</v>
          </cell>
          <cell r="F13">
            <v>2105499</v>
          </cell>
          <cell r="G13">
            <v>8934910</v>
          </cell>
        </row>
        <row r="14">
          <cell r="A14" t="str">
            <v>Fresno</v>
          </cell>
          <cell r="B14">
            <v>44438174</v>
          </cell>
          <cell r="C14">
            <v>13462072</v>
          </cell>
          <cell r="D14">
            <v>57900246</v>
          </cell>
          <cell r="E14">
            <v>44697488</v>
          </cell>
          <cell r="F14">
            <v>18174883</v>
          </cell>
          <cell r="G14">
            <v>62872371</v>
          </cell>
        </row>
        <row r="15">
          <cell r="A15" t="str">
            <v>Glenn</v>
          </cell>
          <cell r="B15">
            <v>1491152</v>
          </cell>
          <cell r="C15">
            <v>875561</v>
          </cell>
          <cell r="D15">
            <v>2366713</v>
          </cell>
          <cell r="E15">
            <v>1490423</v>
          </cell>
          <cell r="F15">
            <v>875561</v>
          </cell>
          <cell r="G15">
            <v>2365983</v>
          </cell>
        </row>
        <row r="16">
          <cell r="A16" t="str">
            <v>Humboldt</v>
          </cell>
          <cell r="B16">
            <v>5270010</v>
          </cell>
          <cell r="C16">
            <v>2201860</v>
          </cell>
          <cell r="D16">
            <v>7471870</v>
          </cell>
          <cell r="E16">
            <v>5273363</v>
          </cell>
          <cell r="F16">
            <v>2200512</v>
          </cell>
          <cell r="G16">
            <v>7473875</v>
          </cell>
        </row>
        <row r="17">
          <cell r="A17" t="str">
            <v>Imperial</v>
          </cell>
          <cell r="B17">
            <v>7216528</v>
          </cell>
          <cell r="C17">
            <v>3435981</v>
          </cell>
          <cell r="D17">
            <v>10652509</v>
          </cell>
          <cell r="E17">
            <v>7916528</v>
          </cell>
          <cell r="F17">
            <v>4300808</v>
          </cell>
          <cell r="G17">
            <v>12217336</v>
          </cell>
        </row>
        <row r="18">
          <cell r="A18" t="str">
            <v>Inyo</v>
          </cell>
          <cell r="B18">
            <v>1451356</v>
          </cell>
          <cell r="C18">
            <v>999896</v>
          </cell>
          <cell r="D18">
            <v>2451252</v>
          </cell>
          <cell r="E18">
            <v>1572150</v>
          </cell>
          <cell r="F18">
            <v>1004385</v>
          </cell>
          <cell r="G18">
            <v>2576535</v>
          </cell>
        </row>
        <row r="19">
          <cell r="A19" t="str">
            <v>Kern</v>
          </cell>
          <cell r="B19">
            <v>39245165</v>
          </cell>
          <cell r="C19">
            <v>7500791</v>
          </cell>
          <cell r="D19">
            <v>46745956</v>
          </cell>
          <cell r="E19">
            <v>41907346</v>
          </cell>
          <cell r="F19">
            <v>11161780</v>
          </cell>
          <cell r="G19">
            <v>53069126</v>
          </cell>
        </row>
        <row r="20">
          <cell r="A20" t="str">
            <v>Kings</v>
          </cell>
          <cell r="B20">
            <v>5738811</v>
          </cell>
          <cell r="C20">
            <v>2531177</v>
          </cell>
          <cell r="D20">
            <v>8269989</v>
          </cell>
          <cell r="E20">
            <v>5743982</v>
          </cell>
          <cell r="F20">
            <v>2911857</v>
          </cell>
          <cell r="G20">
            <v>8655839</v>
          </cell>
        </row>
        <row r="21">
          <cell r="A21" t="str">
            <v>Lake</v>
          </cell>
          <cell r="B21">
            <v>2447547</v>
          </cell>
          <cell r="C21">
            <v>1348207</v>
          </cell>
          <cell r="D21">
            <v>3795754</v>
          </cell>
          <cell r="E21">
            <v>2448150</v>
          </cell>
          <cell r="F21">
            <v>1350696</v>
          </cell>
          <cell r="G21">
            <v>3798846</v>
          </cell>
        </row>
        <row r="22">
          <cell r="A22" t="str">
            <v>Lassen</v>
          </cell>
          <cell r="B22">
            <v>2440386</v>
          </cell>
          <cell r="C22">
            <v>648534</v>
          </cell>
          <cell r="D22">
            <v>3088921</v>
          </cell>
          <cell r="E22">
            <v>2478403</v>
          </cell>
          <cell r="F22">
            <v>866221</v>
          </cell>
          <cell r="G22">
            <v>3344624</v>
          </cell>
        </row>
        <row r="23">
          <cell r="A23" t="str">
            <v>Los Angeles</v>
          </cell>
          <cell r="B23">
            <v>533320096</v>
          </cell>
          <cell r="C23">
            <v>94076138</v>
          </cell>
          <cell r="D23">
            <v>627396234</v>
          </cell>
          <cell r="E23">
            <v>548201584</v>
          </cell>
          <cell r="F23">
            <v>105115077</v>
          </cell>
          <cell r="G23">
            <v>653316661</v>
          </cell>
        </row>
        <row r="24">
          <cell r="A24" t="str">
            <v>Madera</v>
          </cell>
          <cell r="B24">
            <v>6984463</v>
          </cell>
          <cell r="C24">
            <v>1829993</v>
          </cell>
          <cell r="D24">
            <v>8814456</v>
          </cell>
          <cell r="E24">
            <v>6984463</v>
          </cell>
          <cell r="F24">
            <v>1829993</v>
          </cell>
          <cell r="G24">
            <v>8814456</v>
          </cell>
        </row>
        <row r="25">
          <cell r="A25" t="str">
            <v>Marin</v>
          </cell>
          <cell r="B25">
            <v>12296183</v>
          </cell>
          <cell r="C25">
            <v>4348960</v>
          </cell>
          <cell r="D25">
            <v>16645143</v>
          </cell>
          <cell r="E25">
            <v>12318200</v>
          </cell>
          <cell r="F25">
            <v>4349663</v>
          </cell>
          <cell r="G25">
            <v>16667863</v>
          </cell>
        </row>
        <row r="26">
          <cell r="A26" t="str">
            <v>Mariposa</v>
          </cell>
          <cell r="B26">
            <v>792771</v>
          </cell>
          <cell r="C26">
            <v>508953</v>
          </cell>
          <cell r="D26">
            <v>1301724</v>
          </cell>
          <cell r="E26">
            <v>792771</v>
          </cell>
          <cell r="F26">
            <v>514721</v>
          </cell>
          <cell r="G26">
            <v>1307492</v>
          </cell>
        </row>
        <row r="27">
          <cell r="A27" t="str">
            <v>Mendocino</v>
          </cell>
          <cell r="B27">
            <v>5205920</v>
          </cell>
          <cell r="C27">
            <v>940891</v>
          </cell>
          <cell r="D27">
            <v>6146811</v>
          </cell>
          <cell r="E27">
            <v>5209013</v>
          </cell>
          <cell r="F27">
            <v>963936</v>
          </cell>
          <cell r="G27">
            <v>6172949</v>
          </cell>
        </row>
        <row r="28">
          <cell r="A28" t="str">
            <v>Merced</v>
          </cell>
          <cell r="B28">
            <v>9387944</v>
          </cell>
          <cell r="C28">
            <v>4310650</v>
          </cell>
          <cell r="D28">
            <v>13698594</v>
          </cell>
          <cell r="E28">
            <v>9391294</v>
          </cell>
          <cell r="F28">
            <v>4566454</v>
          </cell>
          <cell r="G28">
            <v>13957748</v>
          </cell>
        </row>
        <row r="29">
          <cell r="A29" t="str">
            <v>Modoc</v>
          </cell>
          <cell r="B29">
            <v>758375</v>
          </cell>
          <cell r="C29">
            <v>561387</v>
          </cell>
          <cell r="D29">
            <v>1319762</v>
          </cell>
          <cell r="E29">
            <v>823549</v>
          </cell>
          <cell r="F29">
            <v>569334</v>
          </cell>
          <cell r="G29">
            <v>1392883</v>
          </cell>
        </row>
        <row r="30">
          <cell r="A30" t="str">
            <v>Mono</v>
          </cell>
          <cell r="B30">
            <v>1056770</v>
          </cell>
          <cell r="C30">
            <v>724888</v>
          </cell>
          <cell r="D30">
            <v>1781659</v>
          </cell>
          <cell r="E30">
            <v>1056770</v>
          </cell>
          <cell r="F30">
            <v>726890</v>
          </cell>
          <cell r="G30">
            <v>1783661</v>
          </cell>
        </row>
        <row r="31">
          <cell r="A31" t="str">
            <v>Monterey</v>
          </cell>
          <cell r="B31">
            <v>16202406</v>
          </cell>
          <cell r="C31">
            <v>5976382</v>
          </cell>
          <cell r="D31">
            <v>22178787</v>
          </cell>
          <cell r="E31">
            <v>16427590</v>
          </cell>
          <cell r="F31">
            <v>6198033</v>
          </cell>
          <cell r="G31">
            <v>22625623</v>
          </cell>
        </row>
        <row r="32">
          <cell r="A32" t="str">
            <v>Napa</v>
          </cell>
          <cell r="B32">
            <v>7756884</v>
          </cell>
          <cell r="C32">
            <v>1423244</v>
          </cell>
          <cell r="D32">
            <v>9180128</v>
          </cell>
          <cell r="E32">
            <v>7756884</v>
          </cell>
          <cell r="F32">
            <v>1583470</v>
          </cell>
          <cell r="G32">
            <v>9340354</v>
          </cell>
        </row>
        <row r="33">
          <cell r="A33" t="str">
            <v>Nevada</v>
          </cell>
          <cell r="B33">
            <v>5112060</v>
          </cell>
          <cell r="C33">
            <v>1554144</v>
          </cell>
          <cell r="D33">
            <v>6666204</v>
          </cell>
          <cell r="E33">
            <v>5187318</v>
          </cell>
          <cell r="F33">
            <v>1834528</v>
          </cell>
          <cell r="G33">
            <v>7021846</v>
          </cell>
        </row>
        <row r="34">
          <cell r="A34" t="str">
            <v>Orange</v>
          </cell>
          <cell r="B34">
            <v>146660224</v>
          </cell>
          <cell r="C34">
            <v>37156769</v>
          </cell>
          <cell r="D34">
            <v>183816993</v>
          </cell>
          <cell r="E34">
            <v>151754036</v>
          </cell>
          <cell r="F34">
            <v>47084503</v>
          </cell>
          <cell r="G34">
            <v>198838539</v>
          </cell>
        </row>
        <row r="35">
          <cell r="A35" t="str">
            <v>Placer</v>
          </cell>
          <cell r="B35">
            <v>12463100</v>
          </cell>
          <cell r="C35">
            <v>2927110</v>
          </cell>
          <cell r="D35">
            <v>15390210</v>
          </cell>
          <cell r="E35">
            <v>12719832</v>
          </cell>
          <cell r="F35">
            <v>3058510</v>
          </cell>
          <cell r="G35">
            <v>15778341</v>
          </cell>
        </row>
        <row r="36">
          <cell r="A36" t="str">
            <v>Plumas</v>
          </cell>
          <cell r="B36">
            <v>1161223</v>
          </cell>
          <cell r="C36">
            <v>820246</v>
          </cell>
          <cell r="D36">
            <v>1981469</v>
          </cell>
          <cell r="E36">
            <v>1161223</v>
          </cell>
          <cell r="F36">
            <v>1155945</v>
          </cell>
          <cell r="G36">
            <v>2317168</v>
          </cell>
        </row>
        <row r="37">
          <cell r="A37" t="str">
            <v>Riverside</v>
          </cell>
          <cell r="B37">
            <v>88521764</v>
          </cell>
          <cell r="C37">
            <v>23012526</v>
          </cell>
          <cell r="D37">
            <v>111534290</v>
          </cell>
          <cell r="E37">
            <v>94579820</v>
          </cell>
          <cell r="F37">
            <v>29767160</v>
          </cell>
          <cell r="G37">
            <v>124346980</v>
          </cell>
        </row>
        <row r="38">
          <cell r="A38" t="str">
            <v>Sacramento</v>
          </cell>
          <cell r="B38">
            <v>71876964</v>
          </cell>
          <cell r="C38">
            <v>12335650</v>
          </cell>
          <cell r="D38">
            <v>84212614</v>
          </cell>
          <cell r="E38">
            <v>72532240</v>
          </cell>
          <cell r="F38">
            <v>13622005</v>
          </cell>
          <cell r="G38">
            <v>86154245</v>
          </cell>
        </row>
        <row r="39">
          <cell r="A39" t="str">
            <v>San Benito</v>
          </cell>
          <cell r="B39">
            <v>2414823</v>
          </cell>
          <cell r="C39">
            <v>845607</v>
          </cell>
          <cell r="D39">
            <v>3260430</v>
          </cell>
          <cell r="E39">
            <v>2414823</v>
          </cell>
          <cell r="F39">
            <v>848407</v>
          </cell>
          <cell r="G39">
            <v>3263230</v>
          </cell>
        </row>
        <row r="40">
          <cell r="A40" t="str">
            <v>San Bernardino</v>
          </cell>
          <cell r="B40">
            <v>78458900</v>
          </cell>
          <cell r="C40">
            <v>21515322</v>
          </cell>
          <cell r="D40">
            <v>99974222</v>
          </cell>
          <cell r="E40">
            <v>80473690</v>
          </cell>
          <cell r="F40">
            <v>24388913</v>
          </cell>
          <cell r="G40">
            <v>104862603</v>
          </cell>
        </row>
        <row r="41">
          <cell r="A41" t="str">
            <v>San Diego</v>
          </cell>
          <cell r="B41">
            <v>134883956</v>
          </cell>
          <cell r="C41">
            <v>33349661</v>
          </cell>
          <cell r="D41">
            <v>168233617</v>
          </cell>
          <cell r="E41">
            <v>140022964</v>
          </cell>
          <cell r="F41">
            <v>36387830</v>
          </cell>
          <cell r="G41">
            <v>176410794</v>
          </cell>
        </row>
        <row r="42">
          <cell r="A42" t="str">
            <v>San Francisco</v>
          </cell>
          <cell r="B42">
            <v>57658817</v>
          </cell>
          <cell r="C42">
            <v>16229857</v>
          </cell>
          <cell r="D42">
            <v>73888674</v>
          </cell>
          <cell r="E42">
            <v>58665237</v>
          </cell>
          <cell r="F42">
            <v>19679042</v>
          </cell>
          <cell r="G42">
            <v>78344279</v>
          </cell>
        </row>
        <row r="43">
          <cell r="A43" t="str">
            <v>San Joaquin</v>
          </cell>
          <cell r="B43">
            <v>27597211</v>
          </cell>
          <cell r="C43">
            <v>5712381</v>
          </cell>
          <cell r="D43">
            <v>33309592</v>
          </cell>
          <cell r="E43">
            <v>28415757</v>
          </cell>
          <cell r="F43">
            <v>6936714</v>
          </cell>
          <cell r="G43">
            <v>35352471</v>
          </cell>
        </row>
        <row r="44">
          <cell r="A44" t="str">
            <v>San Luis Obispo</v>
          </cell>
          <cell r="B44">
            <v>12998333</v>
          </cell>
          <cell r="C44">
            <v>3572952</v>
          </cell>
          <cell r="D44">
            <v>16571285</v>
          </cell>
          <cell r="E44">
            <v>13451849</v>
          </cell>
          <cell r="F44">
            <v>4016500</v>
          </cell>
          <cell r="G44">
            <v>17468349</v>
          </cell>
        </row>
        <row r="45">
          <cell r="A45" t="str">
            <v>San Mateo</v>
          </cell>
          <cell r="B45">
            <v>33210585</v>
          </cell>
          <cell r="C45">
            <v>6706766</v>
          </cell>
          <cell r="D45">
            <v>39917351</v>
          </cell>
          <cell r="E45">
            <v>33210585</v>
          </cell>
          <cell r="F45">
            <v>7929682</v>
          </cell>
          <cell r="G45">
            <v>41140267</v>
          </cell>
        </row>
        <row r="46">
          <cell r="A46" t="str">
            <v>Santa Barbara</v>
          </cell>
          <cell r="B46">
            <v>21623136</v>
          </cell>
          <cell r="C46">
            <v>4005705</v>
          </cell>
          <cell r="D46">
            <v>25628841</v>
          </cell>
          <cell r="E46">
            <v>23113505</v>
          </cell>
          <cell r="F46">
            <v>4890899</v>
          </cell>
          <cell r="G46">
            <v>28004403</v>
          </cell>
        </row>
        <row r="47">
          <cell r="A47" t="str">
            <v>Santa Clara</v>
          </cell>
          <cell r="B47">
            <v>83969532</v>
          </cell>
          <cell r="C47">
            <v>14184751</v>
          </cell>
          <cell r="D47">
            <v>98154283</v>
          </cell>
          <cell r="E47">
            <v>86386340</v>
          </cell>
          <cell r="F47">
            <v>16474661</v>
          </cell>
          <cell r="G47">
            <v>102861001</v>
          </cell>
        </row>
        <row r="48">
          <cell r="A48" t="str">
            <v>Santa Cruz</v>
          </cell>
          <cell r="B48">
            <v>9838003</v>
          </cell>
          <cell r="C48">
            <v>1903976</v>
          </cell>
          <cell r="D48">
            <v>11741979</v>
          </cell>
          <cell r="E48">
            <v>10205373</v>
          </cell>
          <cell r="F48">
            <v>2097507</v>
          </cell>
          <cell r="G48">
            <v>12302879</v>
          </cell>
        </row>
        <row r="49">
          <cell r="A49" t="str">
            <v>Shasta</v>
          </cell>
          <cell r="B49">
            <v>10368051</v>
          </cell>
          <cell r="C49">
            <v>2692420</v>
          </cell>
          <cell r="D49">
            <v>13060471</v>
          </cell>
          <cell r="E49">
            <v>11970677</v>
          </cell>
          <cell r="F49">
            <v>3156292</v>
          </cell>
          <cell r="G49">
            <v>15126970</v>
          </cell>
        </row>
        <row r="50">
          <cell r="A50" t="str">
            <v>Sierra</v>
          </cell>
          <cell r="B50">
            <v>342181</v>
          </cell>
          <cell r="C50">
            <v>246199</v>
          </cell>
          <cell r="D50">
            <v>588380</v>
          </cell>
          <cell r="E50">
            <v>360351</v>
          </cell>
          <cell r="F50">
            <v>257983</v>
          </cell>
          <cell r="G50">
            <v>618334</v>
          </cell>
        </row>
        <row r="51">
          <cell r="A51" t="str">
            <v>Siskiyou</v>
          </cell>
          <cell r="B51">
            <v>3738475</v>
          </cell>
          <cell r="C51">
            <v>1139500</v>
          </cell>
          <cell r="D51">
            <v>4877975</v>
          </cell>
          <cell r="E51">
            <v>3922145</v>
          </cell>
          <cell r="F51">
            <v>1193615</v>
          </cell>
          <cell r="G51">
            <v>5115760</v>
          </cell>
        </row>
        <row r="52">
          <cell r="A52" t="str">
            <v>Solano</v>
          </cell>
          <cell r="B52">
            <v>19976931</v>
          </cell>
          <cell r="C52">
            <v>8325218</v>
          </cell>
          <cell r="D52">
            <v>28302149</v>
          </cell>
          <cell r="E52">
            <v>20321090</v>
          </cell>
          <cell r="F52">
            <v>8520454</v>
          </cell>
          <cell r="G52">
            <v>28841544</v>
          </cell>
        </row>
        <row r="53">
          <cell r="A53" t="str">
            <v>Sonoma</v>
          </cell>
          <cell r="B53">
            <v>20321968</v>
          </cell>
          <cell r="C53">
            <v>6210897</v>
          </cell>
          <cell r="D53">
            <v>26532865</v>
          </cell>
          <cell r="E53">
            <v>21281968</v>
          </cell>
          <cell r="F53">
            <v>6857375</v>
          </cell>
          <cell r="G53">
            <v>28139343</v>
          </cell>
        </row>
        <row r="54">
          <cell r="A54" t="str">
            <v>Stanislaus</v>
          </cell>
          <cell r="B54">
            <v>18166187</v>
          </cell>
          <cell r="C54">
            <v>2662694</v>
          </cell>
          <cell r="D54">
            <v>20828881</v>
          </cell>
          <cell r="E54">
            <v>18673888</v>
          </cell>
          <cell r="F54">
            <v>3792057</v>
          </cell>
          <cell r="G54">
            <v>22465945</v>
          </cell>
        </row>
        <row r="55">
          <cell r="A55" t="str">
            <v>Sutter</v>
          </cell>
          <cell r="B55">
            <v>4665879</v>
          </cell>
          <cell r="C55">
            <v>1172190</v>
          </cell>
          <cell r="D55">
            <v>5838069</v>
          </cell>
          <cell r="E55">
            <v>4780486</v>
          </cell>
          <cell r="F55">
            <v>1250513</v>
          </cell>
          <cell r="G55">
            <v>6030998</v>
          </cell>
        </row>
        <row r="56">
          <cell r="A56" t="str">
            <v>Tehama</v>
          </cell>
          <cell r="B56">
            <v>3242369</v>
          </cell>
          <cell r="C56">
            <v>950209</v>
          </cell>
          <cell r="D56">
            <v>4192578</v>
          </cell>
          <cell r="E56">
            <v>3242369</v>
          </cell>
          <cell r="F56">
            <v>1048996</v>
          </cell>
          <cell r="G56">
            <v>4291365</v>
          </cell>
        </row>
        <row r="57">
          <cell r="A57" t="str">
            <v>Trinity</v>
          </cell>
          <cell r="B57">
            <v>1125388</v>
          </cell>
          <cell r="C57">
            <v>357845</v>
          </cell>
          <cell r="D57">
            <v>1483233</v>
          </cell>
          <cell r="E57">
            <v>1145909</v>
          </cell>
          <cell r="F57">
            <v>373752</v>
          </cell>
          <cell r="G57">
            <v>1519660</v>
          </cell>
        </row>
        <row r="58">
          <cell r="A58" t="str">
            <v>Tulare</v>
          </cell>
          <cell r="B58">
            <v>16682001</v>
          </cell>
          <cell r="C58">
            <v>4782607</v>
          </cell>
          <cell r="D58">
            <v>21464608</v>
          </cell>
          <cell r="E58">
            <v>17409927</v>
          </cell>
          <cell r="F58">
            <v>6145702</v>
          </cell>
          <cell r="G58">
            <v>23555629</v>
          </cell>
        </row>
        <row r="59">
          <cell r="A59" t="str">
            <v>Tuolumne</v>
          </cell>
          <cell r="B59">
            <v>2785805</v>
          </cell>
          <cell r="C59">
            <v>793775</v>
          </cell>
          <cell r="D59">
            <v>3579581</v>
          </cell>
          <cell r="E59">
            <v>3050010</v>
          </cell>
          <cell r="F59">
            <v>933719</v>
          </cell>
          <cell r="G59">
            <v>3983729</v>
          </cell>
        </row>
        <row r="60">
          <cell r="A60" t="str">
            <v>Ventura</v>
          </cell>
          <cell r="B60">
            <v>29484950</v>
          </cell>
          <cell r="C60">
            <v>8653651</v>
          </cell>
          <cell r="D60">
            <v>38138601</v>
          </cell>
          <cell r="E60">
            <v>33067974</v>
          </cell>
          <cell r="F60">
            <v>10466196</v>
          </cell>
          <cell r="G60">
            <v>43534170</v>
          </cell>
        </row>
        <row r="61">
          <cell r="A61" t="str">
            <v>Yolo</v>
          </cell>
          <cell r="B61">
            <v>6978960</v>
          </cell>
          <cell r="C61">
            <v>2550555</v>
          </cell>
          <cell r="D61">
            <v>9529515</v>
          </cell>
          <cell r="E61">
            <v>7813930</v>
          </cell>
          <cell r="F61">
            <v>2962058</v>
          </cell>
          <cell r="G61">
            <v>10775988</v>
          </cell>
        </row>
        <row r="62">
          <cell r="A62" t="str">
            <v>Yuba</v>
          </cell>
          <cell r="B62">
            <v>3625993</v>
          </cell>
          <cell r="C62">
            <v>1088191</v>
          </cell>
          <cell r="D62">
            <v>4714184</v>
          </cell>
          <cell r="E62">
            <v>4017905</v>
          </cell>
          <cell r="F62">
            <v>1523641</v>
          </cell>
          <cell r="G62">
            <v>5541546</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y Revise"/>
      <sheetName val="10R_1st Pass"/>
      <sheetName val="Revenue and Funding"/>
      <sheetName val="New Revenues"/>
      <sheetName val="Filings Detail"/>
      <sheetName val="Revenue Detail"/>
      <sheetName val="Filings Summary"/>
      <sheetName val="Revenue Summary"/>
      <sheetName val="First Paper"/>
      <sheetName val="Unlimited"/>
      <sheetName val="Limited 10K"/>
      <sheetName val="Marriage Dissolution"/>
      <sheetName val="Limited 10K to 25K"/>
      <sheetName val="GC 70626 Fees"/>
      <sheetName val="Motion Fees"/>
      <sheetName val="Probate Fees"/>
      <sheetName val="Limited 5K"/>
      <sheetName val="Family Law"/>
      <sheetName val="SMIF"/>
      <sheetName val="Telephonic Appearance"/>
      <sheetName val="Access EAF Dist"/>
      <sheetName val="TC145 Template 20140101"/>
      <sheetName val="Access TC-145 Calc Data13-14"/>
      <sheetName val="Access TEALE Data13-14"/>
      <sheetName val="Access TC-145 Calc Data12-13"/>
      <sheetName val="Access TEALE Data12-13"/>
      <sheetName val="Access TC-145 Calc Data11-12"/>
      <sheetName val="Access TEALE Data11-12"/>
      <sheetName val="Access TC-145 Calc Data10-11"/>
      <sheetName val="Access TEALE Data10-11"/>
      <sheetName val="Access TC-145 Calc Data09-10"/>
      <sheetName val="Access TEALE Data09-10"/>
      <sheetName val="Access TC-145 Calc Data08-09"/>
      <sheetName val="Access TEALE Data08-09"/>
      <sheetName val="Access TC-145 Calc Data07-08"/>
      <sheetName val="Access TEALE Data07-08"/>
      <sheetName val="Access TC-145 Calc Data06-07"/>
      <sheetName val="Access TEALE Data06-07"/>
      <sheetName val="Access TC-145 Calc Data05-06"/>
      <sheetName val="Access TEALE Data05-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 1"/>
      <sheetName val="Macro1"/>
    </sheetNames>
    <sheetDataSet>
      <sheetData sheetId="0"/>
      <sheetData sheetId="1">
        <row r="76">
          <cell r="A76" t="str">
            <v>Recover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F_PCC list &amp; reduction"/>
      <sheetName val="Program Listing and Reducti (2)"/>
      <sheetName val="Program Listing and Reductions"/>
      <sheetName val="Mod Fund"/>
      <sheetName val="TCIF"/>
      <sheetName val="All Div - B1"/>
      <sheetName val="All Div - B2"/>
      <sheetName val="Combo Box"/>
    </sheetNames>
    <sheetDataSet>
      <sheetData sheetId="0"/>
      <sheetData sheetId="1"/>
      <sheetData sheetId="2"/>
      <sheetData sheetId="3"/>
      <sheetData sheetId="4"/>
      <sheetData sheetId="5"/>
      <sheetData sheetId="6"/>
      <sheetData sheetId="7">
        <row r="2">
          <cell r="A2" t="str">
            <v>Discontinue</v>
          </cell>
        </row>
        <row r="3">
          <cell r="A3" t="str">
            <v>Suspend</v>
          </cell>
        </row>
        <row r="4">
          <cell r="A4" t="str">
            <v>Partial</v>
          </cell>
        </row>
        <row r="5">
          <cell r="A5" t="str">
            <v>No Change</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CTF 2009-10 2nd Turn (3)"/>
      <sheetName val="TCTF 2009-10 2nd Turn (2)"/>
      <sheetName val="TCTF 2009-10 2nd Turn"/>
      <sheetName val="FY 2008-09 Overview"/>
      <sheetName val="TEALE 2008"/>
      <sheetName val="TEALE 2008 (2)"/>
      <sheetName val="Account Descriptions"/>
      <sheetName val="Summary (2)"/>
      <sheetName val="Summary"/>
      <sheetName val="Sheet9"/>
      <sheetName val="FY 2008-09_Months"/>
      <sheetName val="TEALE 2006"/>
      <sheetName val="TEALE 2005"/>
      <sheetName val="Account Pvt Table"/>
      <sheetName val="Pvt Tbl 2"/>
      <sheetName val="Pvt Tbl"/>
      <sheetName val="Jeff_qryTC145B11 (2)"/>
      <sheetName val="Jeff_qryTC145B11"/>
      <sheetName val="New_Code_Section_and_TC_145_Row"/>
      <sheetName val="TC-145 Row_ID_Description"/>
      <sheetName val="TC-145 Template"/>
    </sheetNames>
    <sheetDataSet>
      <sheetData sheetId="0">
        <row r="10">
          <cell r="C10">
            <v>498600</v>
          </cell>
        </row>
      </sheetData>
      <sheetData sheetId="1"/>
      <sheetData sheetId="2"/>
      <sheetData sheetId="3"/>
      <sheetData sheetId="4">
        <row r="19">
          <cell r="B19">
            <v>30438790.829999998</v>
          </cell>
        </row>
      </sheetData>
      <sheetData sheetId="5">
        <row r="4">
          <cell r="A4">
            <v>131700</v>
          </cell>
        </row>
      </sheetData>
      <sheetData sheetId="6">
        <row r="3">
          <cell r="B3">
            <v>131700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
          <cell r="W1" t="str">
            <v>Superior Court - Los Angeles</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port Template Example"/>
      <sheetName val="Report Template Instructions"/>
      <sheetName val="Report Template"/>
      <sheetName val="Report Template with comments"/>
      <sheetName val="Revision Crosswalk"/>
      <sheetName val="Schedule D Instructions"/>
      <sheetName val="Schedule D"/>
      <sheetName val="Schedule F Instructions"/>
      <sheetName val="Schedule F"/>
      <sheetName val="Certification"/>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1">
          <cell r="F1" t="str">
            <v>Madera</v>
          </cell>
        </row>
      </sheetData>
    </sheetDataSet>
  </externalBook>
</externalLink>
</file>

<file path=xl/persons/person.xml><?xml version="1.0" encoding="utf-8"?>
<personList xmlns="http://schemas.microsoft.com/office/spreadsheetml/2018/threadedcomments" xmlns:x="http://schemas.openxmlformats.org/spreadsheetml/2006/main">
  <person displayName="Glavin, Joseph" id="{A0B075E7-F545-464F-92CB-F7047EC772A1}" userId="S::Joseph.Glavin@jud.ca.gov::24198711-bb2d-4844-85c4-adffc8a1f69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5" dT="2022-04-07T22:54:59.42" personId="{A0B075E7-F545-464F-92CB-F7047EC772A1}" id="{ADAEA5D8-8DE2-4242-B265-07B412785CEF}">
    <text>Added to account for Lassen and Tehama, which do not have 1 FTE values.</text>
  </threadedComment>
</ThreadedComment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B21" sqref="B21"/>
    </sheetView>
  </sheetViews>
  <sheetFormatPr defaultRowHeight="15" x14ac:dyDescent="0.25"/>
  <cols>
    <col min="1" max="1" width="20" bestFit="1" customWidth="1"/>
    <col min="2" max="2" width="199.140625" bestFit="1" customWidth="1"/>
  </cols>
  <sheetData>
    <row r="1" spans="1:2" s="3" customFormat="1" x14ac:dyDescent="0.25">
      <c r="A1" s="3" t="s">
        <v>114</v>
      </c>
      <c r="B1" s="3" t="s">
        <v>64</v>
      </c>
    </row>
    <row r="2" spans="1:2" s="3" customFormat="1" x14ac:dyDescent="0.25">
      <c r="A2" s="8" t="s">
        <v>74</v>
      </c>
      <c r="B2" s="42"/>
    </row>
    <row r="3" spans="1:2" s="3" customFormat="1" x14ac:dyDescent="0.25"/>
    <row r="4" spans="1:2" x14ac:dyDescent="0.25">
      <c r="A4" t="s">
        <v>115</v>
      </c>
      <c r="B4" s="4" t="s">
        <v>250</v>
      </c>
    </row>
    <row r="5" spans="1:2" ht="30" x14ac:dyDescent="0.25">
      <c r="B5" s="4" t="s">
        <v>117</v>
      </c>
    </row>
    <row r="6" spans="1:2" x14ac:dyDescent="0.25">
      <c r="B6" s="4"/>
    </row>
    <row r="7" spans="1:2" x14ac:dyDescent="0.25">
      <c r="A7" t="s">
        <v>120</v>
      </c>
      <c r="B7" s="4" t="s">
        <v>121</v>
      </c>
    </row>
    <row r="9" spans="1:2" x14ac:dyDescent="0.25">
      <c r="A9" t="s">
        <v>116</v>
      </c>
      <c r="B9" s="4" t="s">
        <v>119</v>
      </c>
    </row>
    <row r="10" spans="1:2" x14ac:dyDescent="0.25">
      <c r="B10" s="4"/>
    </row>
    <row r="11" spans="1:2" ht="30" x14ac:dyDescent="0.25">
      <c r="A11" t="s">
        <v>118</v>
      </c>
      <c r="B11" s="4" t="s">
        <v>122</v>
      </c>
    </row>
    <row r="13" spans="1:2" x14ac:dyDescent="0.25">
      <c r="A13" t="s">
        <v>123</v>
      </c>
      <c r="B13" t="s">
        <v>130</v>
      </c>
    </row>
    <row r="15" spans="1:2" x14ac:dyDescent="0.25">
      <c r="A15" t="s">
        <v>124</v>
      </c>
      <c r="B15" t="s">
        <v>130</v>
      </c>
    </row>
    <row r="17" spans="1:2" x14ac:dyDescent="0.25">
      <c r="A17" t="s">
        <v>125</v>
      </c>
      <c r="B17" t="s">
        <v>131</v>
      </c>
    </row>
    <row r="19" spans="1:2" x14ac:dyDescent="0.25">
      <c r="A19" t="s">
        <v>126</v>
      </c>
      <c r="B19" t="s">
        <v>132</v>
      </c>
    </row>
    <row r="21" spans="1:2" x14ac:dyDescent="0.25">
      <c r="A21" t="s">
        <v>127</v>
      </c>
      <c r="B21" s="41"/>
    </row>
    <row r="23" spans="1:2" x14ac:dyDescent="0.25">
      <c r="A23" t="s">
        <v>133</v>
      </c>
      <c r="B23" t="s">
        <v>134</v>
      </c>
    </row>
    <row r="25" spans="1:2" x14ac:dyDescent="0.25">
      <c r="A25" t="s">
        <v>128</v>
      </c>
      <c r="B25" t="s">
        <v>135</v>
      </c>
    </row>
    <row r="27" spans="1:2" x14ac:dyDescent="0.25">
      <c r="A27" t="s">
        <v>129</v>
      </c>
      <c r="B27" t="s">
        <v>136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C12"/>
  <sheetViews>
    <sheetView zoomScaleNormal="100" workbookViewId="0">
      <selection activeCell="C6" sqref="C6"/>
    </sheetView>
  </sheetViews>
  <sheetFormatPr defaultColWidth="9.140625" defaultRowHeight="15" x14ac:dyDescent="0.25"/>
  <cols>
    <col min="1" max="1" width="10.5703125" style="164" customWidth="1"/>
    <col min="2" max="2" width="14.5703125" style="164" customWidth="1"/>
    <col min="3" max="3" width="26.140625" style="164" customWidth="1"/>
    <col min="4" max="16384" width="9.140625" style="164"/>
  </cols>
  <sheetData>
    <row r="1" spans="1:3" ht="18.75" x14ac:dyDescent="0.25">
      <c r="A1" s="174" t="s">
        <v>194</v>
      </c>
    </row>
    <row r="2" spans="1:3" ht="20.100000000000001" customHeight="1" x14ac:dyDescent="0.25">
      <c r="A2" s="50" t="s">
        <v>235</v>
      </c>
    </row>
    <row r="3" spans="1:3" ht="20.100000000000001" customHeight="1" x14ac:dyDescent="0.25"/>
    <row r="4" spans="1:3" ht="45" x14ac:dyDescent="0.25">
      <c r="B4" s="252" t="s">
        <v>68</v>
      </c>
      <c r="C4" s="251" t="s">
        <v>193</v>
      </c>
    </row>
    <row r="5" spans="1:3" x14ac:dyDescent="0.25">
      <c r="B5" s="82" t="s">
        <v>65</v>
      </c>
      <c r="C5" s="82" t="s">
        <v>1</v>
      </c>
    </row>
    <row r="6" spans="1:3" ht="20.100000000000001" customHeight="1" x14ac:dyDescent="0.25">
      <c r="B6" s="68">
        <v>1</v>
      </c>
      <c r="C6" s="209">
        <v>28133.516990171982</v>
      </c>
    </row>
    <row r="7" spans="1:3" ht="20.100000000000001" customHeight="1" x14ac:dyDescent="0.25">
      <c r="B7" s="68">
        <v>2</v>
      </c>
      <c r="C7" s="209">
        <v>17452.449196893685</v>
      </c>
    </row>
    <row r="8" spans="1:3" ht="20.100000000000001" customHeight="1" x14ac:dyDescent="0.25">
      <c r="B8" s="68">
        <v>3</v>
      </c>
      <c r="C8" s="209">
        <v>17452.449196893685</v>
      </c>
    </row>
    <row r="9" spans="1:3" ht="20.100000000000001" customHeight="1" x14ac:dyDescent="0.25">
      <c r="B9" s="68">
        <v>4</v>
      </c>
      <c r="C9" s="209">
        <v>17452.449196893685</v>
      </c>
    </row>
    <row r="10" spans="1:3" ht="20.100000000000001" customHeight="1" x14ac:dyDescent="0.25">
      <c r="A10" s="55"/>
      <c r="B10" s="58"/>
    </row>
    <row r="11" spans="1:3" ht="20.100000000000001" customHeight="1" x14ac:dyDescent="0.25">
      <c r="B11" s="207" t="s">
        <v>233</v>
      </c>
    </row>
    <row r="12" spans="1:3" x14ac:dyDescent="0.25">
      <c r="A12" s="208"/>
    </row>
  </sheetData>
  <printOptions horizontalCentered="1"/>
  <pageMargins left="0.45" right="0.45" top="0.5" bottom="0.75" header="0.3" footer="0.3"/>
  <pageSetup scale="6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63"/>
  <sheetViews>
    <sheetView topLeftCell="A31" workbookViewId="0">
      <selection activeCell="H20" sqref="H20"/>
    </sheetView>
  </sheetViews>
  <sheetFormatPr defaultRowHeight="15" x14ac:dyDescent="0.25"/>
  <cols>
    <col min="1" max="1" width="11" style="272" customWidth="1"/>
    <col min="2" max="2" width="14.85546875" bestFit="1" customWidth="1"/>
    <col min="3" max="4" width="15.5703125" bestFit="1" customWidth="1"/>
    <col min="5" max="5" width="20" bestFit="1" customWidth="1"/>
    <col min="7" max="7" width="15.5703125" customWidth="1"/>
    <col min="8" max="8" width="22.85546875" customWidth="1"/>
    <col min="9" max="9" width="11.140625" bestFit="1" customWidth="1"/>
    <col min="10" max="10" width="13.42578125" customWidth="1"/>
  </cols>
  <sheetData>
    <row r="1" spans="1:10" ht="23.1" customHeight="1" x14ac:dyDescent="0.25">
      <c r="A1" s="282" t="s">
        <v>242</v>
      </c>
    </row>
    <row r="2" spans="1:10" x14ac:dyDescent="0.25">
      <c r="A2" s="50" t="s">
        <v>241</v>
      </c>
    </row>
    <row r="4" spans="1:10" ht="30" x14ac:dyDescent="0.25">
      <c r="A4" s="276" t="s">
        <v>212</v>
      </c>
      <c r="B4" s="268" t="s">
        <v>208</v>
      </c>
      <c r="C4" s="218" t="s">
        <v>209</v>
      </c>
      <c r="D4" s="218" t="s">
        <v>210</v>
      </c>
      <c r="E4" s="218" t="s">
        <v>243</v>
      </c>
    </row>
    <row r="5" spans="1:10" x14ac:dyDescent="0.25">
      <c r="A5" s="271">
        <v>1</v>
      </c>
      <c r="B5" s="292" t="s">
        <v>53</v>
      </c>
      <c r="C5" s="74">
        <v>1271033.6599999999</v>
      </c>
      <c r="D5" s="74">
        <v>367743.08999999997</v>
      </c>
      <c r="E5" s="74">
        <f>C5+D5</f>
        <v>1638776.75</v>
      </c>
      <c r="G5" s="279"/>
      <c r="H5" s="280"/>
      <c r="I5" s="277"/>
      <c r="J5" s="281"/>
    </row>
    <row r="6" spans="1:10" x14ac:dyDescent="0.25">
      <c r="A6" s="271">
        <v>2</v>
      </c>
      <c r="B6" s="290" t="s">
        <v>4</v>
      </c>
      <c r="C6" s="296"/>
      <c r="D6" s="296"/>
      <c r="E6" s="274">
        <f t="shared" ref="E6:E62" si="0">C6+D6</f>
        <v>0</v>
      </c>
      <c r="G6" s="279"/>
      <c r="H6" s="280"/>
      <c r="I6" s="277"/>
    </row>
    <row r="7" spans="1:10" x14ac:dyDescent="0.25">
      <c r="A7" s="271">
        <v>3</v>
      </c>
      <c r="B7" s="292" t="s">
        <v>5</v>
      </c>
      <c r="C7" s="273">
        <v>112128.51999999999</v>
      </c>
      <c r="D7" s="273">
        <v>45324.14</v>
      </c>
      <c r="E7" s="274">
        <f>C7+D7</f>
        <v>157452.65999999997</v>
      </c>
      <c r="G7" s="279"/>
      <c r="H7" s="280"/>
      <c r="I7" s="277"/>
      <c r="J7" s="281"/>
    </row>
    <row r="8" spans="1:10" x14ac:dyDescent="0.25">
      <c r="A8" s="271">
        <v>4</v>
      </c>
      <c r="B8" s="292" t="s">
        <v>19</v>
      </c>
      <c r="C8" s="273">
        <v>146519.85999999999</v>
      </c>
      <c r="D8" s="273">
        <v>109868.95</v>
      </c>
      <c r="E8" s="274">
        <f t="shared" si="0"/>
        <v>256388.81</v>
      </c>
      <c r="G8" s="279"/>
      <c r="H8" s="280"/>
      <c r="I8" s="277"/>
      <c r="J8" s="281"/>
    </row>
    <row r="9" spans="1:10" x14ac:dyDescent="0.25">
      <c r="A9" s="271">
        <v>5</v>
      </c>
      <c r="B9" s="292" t="s">
        <v>6</v>
      </c>
      <c r="C9" s="273">
        <v>102754.86</v>
      </c>
      <c r="D9" s="273">
        <v>39403.130000000005</v>
      </c>
      <c r="E9" s="274">
        <f t="shared" si="0"/>
        <v>142157.99</v>
      </c>
      <c r="G9" s="279"/>
      <c r="H9" s="280"/>
      <c r="I9" s="277"/>
      <c r="J9" s="281"/>
    </row>
    <row r="10" spans="1:10" x14ac:dyDescent="0.25">
      <c r="A10" s="271">
        <v>6</v>
      </c>
      <c r="B10" s="292" t="s">
        <v>7</v>
      </c>
      <c r="C10" s="273">
        <v>30463.68</v>
      </c>
      <c r="D10" s="273">
        <v>34692.9</v>
      </c>
      <c r="E10" s="274">
        <f t="shared" si="0"/>
        <v>65156.58</v>
      </c>
      <c r="G10" s="279"/>
      <c r="H10" s="280"/>
      <c r="I10" s="277"/>
      <c r="J10" s="281"/>
    </row>
    <row r="11" spans="1:10" x14ac:dyDescent="0.25">
      <c r="A11" s="271">
        <v>7</v>
      </c>
      <c r="B11" s="292" t="s">
        <v>41</v>
      </c>
      <c r="C11" s="273">
        <v>744617.00000000012</v>
      </c>
      <c r="D11" s="273">
        <v>318218.99</v>
      </c>
      <c r="E11" s="274">
        <f t="shared" si="0"/>
        <v>1062835.9900000002</v>
      </c>
      <c r="G11" s="279"/>
      <c r="H11" s="280"/>
      <c r="I11" s="277"/>
      <c r="J11" s="281"/>
    </row>
    <row r="12" spans="1:10" x14ac:dyDescent="0.25">
      <c r="A12" s="271">
        <v>8</v>
      </c>
      <c r="B12" s="292" t="s">
        <v>8</v>
      </c>
      <c r="C12" s="273">
        <v>54910.19</v>
      </c>
      <c r="D12" s="273">
        <v>49887.859999999993</v>
      </c>
      <c r="E12" s="274">
        <f t="shared" si="0"/>
        <v>104798.04999999999</v>
      </c>
      <c r="G12" s="279"/>
      <c r="H12" s="280"/>
      <c r="I12" s="277"/>
      <c r="J12" s="281"/>
    </row>
    <row r="13" spans="1:10" x14ac:dyDescent="0.25">
      <c r="A13" s="271">
        <v>9</v>
      </c>
      <c r="B13" s="292" t="s">
        <v>20</v>
      </c>
      <c r="C13" s="273">
        <v>187126.55000000002</v>
      </c>
      <c r="D13" s="273">
        <v>121511</v>
      </c>
      <c r="E13" s="274">
        <f t="shared" si="0"/>
        <v>308637.55000000005</v>
      </c>
      <c r="G13" s="279"/>
      <c r="H13" s="280"/>
      <c r="I13" s="277"/>
      <c r="J13" s="281"/>
    </row>
    <row r="14" spans="1:10" x14ac:dyDescent="0.25">
      <c r="A14" s="271">
        <v>10</v>
      </c>
      <c r="B14" s="292" t="s">
        <v>42</v>
      </c>
      <c r="C14" s="273">
        <v>1904751.99</v>
      </c>
      <c r="D14" s="273">
        <v>435348.43</v>
      </c>
      <c r="E14" s="274">
        <f t="shared" si="0"/>
        <v>2340100.42</v>
      </c>
      <c r="G14" s="279"/>
      <c r="H14" s="280"/>
      <c r="I14" s="281"/>
      <c r="J14" s="281"/>
    </row>
    <row r="15" spans="1:10" x14ac:dyDescent="0.25">
      <c r="A15" s="271">
        <v>11</v>
      </c>
      <c r="B15" s="292" t="s">
        <v>9</v>
      </c>
      <c r="C15" s="273">
        <v>94242.94</v>
      </c>
      <c r="D15" s="273">
        <v>37752.259999999995</v>
      </c>
      <c r="E15" s="274">
        <f t="shared" si="0"/>
        <v>131995.20000000001</v>
      </c>
      <c r="G15" s="278"/>
      <c r="H15" s="277"/>
      <c r="I15" s="281"/>
      <c r="J15" s="281"/>
    </row>
    <row r="16" spans="1:10" x14ac:dyDescent="0.25">
      <c r="A16" s="271">
        <v>12</v>
      </c>
      <c r="B16" s="292" t="s">
        <v>21</v>
      </c>
      <c r="C16" s="273">
        <v>111915.39000000001</v>
      </c>
      <c r="D16" s="273">
        <v>90987.95</v>
      </c>
      <c r="E16" s="274">
        <f t="shared" si="0"/>
        <v>202903.34000000003</v>
      </c>
      <c r="G16" s="278"/>
      <c r="H16" s="277"/>
      <c r="I16" s="281"/>
      <c r="J16" s="281"/>
    </row>
    <row r="17" spans="1:10" x14ac:dyDescent="0.25">
      <c r="A17" s="271">
        <v>13</v>
      </c>
      <c r="B17" s="292" t="s">
        <v>22</v>
      </c>
      <c r="C17" s="273">
        <v>225383.80000000002</v>
      </c>
      <c r="D17" s="273">
        <v>6268.43</v>
      </c>
      <c r="E17" s="274">
        <f>C17+D17</f>
        <v>231652.23</v>
      </c>
      <c r="G17" s="278"/>
      <c r="H17" s="277"/>
      <c r="I17" s="281"/>
      <c r="J17" s="281"/>
    </row>
    <row r="18" spans="1:10" x14ac:dyDescent="0.25">
      <c r="A18" s="271">
        <v>14</v>
      </c>
      <c r="B18" s="292" t="s">
        <v>10</v>
      </c>
      <c r="C18" s="273">
        <v>56133.210000000006</v>
      </c>
      <c r="D18" s="273">
        <v>42887.350000000006</v>
      </c>
      <c r="E18" s="274">
        <f t="shared" si="0"/>
        <v>99020.560000000012</v>
      </c>
      <c r="G18" s="278"/>
      <c r="H18" s="277"/>
      <c r="I18" s="281"/>
      <c r="J18" s="281"/>
    </row>
    <row r="19" spans="1:10" x14ac:dyDescent="0.25">
      <c r="A19" s="271">
        <v>15</v>
      </c>
      <c r="B19" s="292" t="s">
        <v>43</v>
      </c>
      <c r="C19" s="273">
        <v>768792.10000000021</v>
      </c>
      <c r="D19" s="273">
        <v>468634</v>
      </c>
      <c r="E19" s="274">
        <f t="shared" si="0"/>
        <v>1237426.1000000001</v>
      </c>
      <c r="G19" s="278"/>
      <c r="H19" s="277"/>
      <c r="I19" s="281"/>
      <c r="J19" s="281"/>
    </row>
    <row r="20" spans="1:10" x14ac:dyDescent="0.25">
      <c r="A20" s="271">
        <v>16</v>
      </c>
      <c r="B20" s="292" t="s">
        <v>23</v>
      </c>
      <c r="C20" s="273">
        <v>351033.00000000006</v>
      </c>
      <c r="D20" s="273">
        <v>10985.04</v>
      </c>
      <c r="E20" s="274">
        <f t="shared" si="0"/>
        <v>362018.04000000004</v>
      </c>
      <c r="G20" s="278"/>
      <c r="H20" s="277"/>
      <c r="I20" s="281"/>
      <c r="J20" s="281"/>
    </row>
    <row r="21" spans="1:10" x14ac:dyDescent="0.25">
      <c r="A21" s="271">
        <v>17</v>
      </c>
      <c r="B21" s="292" t="s">
        <v>24</v>
      </c>
      <c r="C21" s="273">
        <v>157537.69</v>
      </c>
      <c r="D21" s="273">
        <v>72280.000000000015</v>
      </c>
      <c r="E21" s="274">
        <f t="shared" si="0"/>
        <v>229817.69</v>
      </c>
      <c r="G21" s="278"/>
      <c r="H21" s="277"/>
      <c r="I21" s="281"/>
      <c r="J21" s="281"/>
    </row>
    <row r="22" spans="1:10" x14ac:dyDescent="0.25">
      <c r="A22" s="271">
        <v>18</v>
      </c>
      <c r="B22" s="292" t="s">
        <v>11</v>
      </c>
      <c r="C22" s="273">
        <v>43479.040000000001</v>
      </c>
      <c r="D22" s="273">
        <v>13709.749999999998</v>
      </c>
      <c r="E22" s="274">
        <f t="shared" si="0"/>
        <v>57188.79</v>
      </c>
      <c r="G22" s="278"/>
      <c r="H22" s="277"/>
      <c r="I22" s="281"/>
      <c r="J22" s="281"/>
    </row>
    <row r="23" spans="1:10" x14ac:dyDescent="0.25">
      <c r="A23" s="271">
        <v>19</v>
      </c>
      <c r="B23" s="292" t="s">
        <v>54</v>
      </c>
      <c r="C23" s="273">
        <v>6543154.4699999997</v>
      </c>
      <c r="D23" s="273">
        <v>2002197.0000000002</v>
      </c>
      <c r="E23" s="274">
        <f t="shared" si="0"/>
        <v>8545351.4700000007</v>
      </c>
      <c r="G23" s="278"/>
      <c r="H23" s="277"/>
      <c r="I23" s="281"/>
      <c r="J23" s="281"/>
    </row>
    <row r="24" spans="1:10" x14ac:dyDescent="0.25">
      <c r="A24" s="271">
        <v>20</v>
      </c>
      <c r="B24" s="292" t="s">
        <v>25</v>
      </c>
      <c r="C24" s="273">
        <v>241775.52000000002</v>
      </c>
      <c r="D24" s="273">
        <v>50238.44</v>
      </c>
      <c r="E24" s="274">
        <f t="shared" si="0"/>
        <v>292013.96000000002</v>
      </c>
      <c r="G24" s="278"/>
      <c r="H24" s="277"/>
      <c r="I24" s="281"/>
      <c r="J24" s="281"/>
    </row>
    <row r="25" spans="1:10" x14ac:dyDescent="0.25">
      <c r="A25" s="271">
        <v>21</v>
      </c>
      <c r="B25" s="292" t="s">
        <v>26</v>
      </c>
      <c r="C25" s="273">
        <v>131332.34999999998</v>
      </c>
      <c r="D25" s="273">
        <v>89517.099999999991</v>
      </c>
      <c r="E25" s="274">
        <f t="shared" si="0"/>
        <v>220849.44999999995</v>
      </c>
      <c r="G25" s="278"/>
      <c r="H25" s="277"/>
      <c r="I25" s="281"/>
      <c r="J25" s="281"/>
    </row>
    <row r="26" spans="1:10" x14ac:dyDescent="0.25">
      <c r="A26" s="271">
        <v>22</v>
      </c>
      <c r="B26" s="292" t="s">
        <v>12</v>
      </c>
      <c r="C26" s="273">
        <v>31248.949999999997</v>
      </c>
      <c r="D26" s="273">
        <v>2629.97</v>
      </c>
      <c r="E26" s="274">
        <f t="shared" si="0"/>
        <v>33878.92</v>
      </c>
      <c r="G26" s="278"/>
      <c r="H26" s="277"/>
      <c r="I26" s="281"/>
      <c r="J26" s="281"/>
    </row>
    <row r="27" spans="1:10" x14ac:dyDescent="0.25">
      <c r="A27" s="271">
        <v>23</v>
      </c>
      <c r="B27" s="292" t="s">
        <v>27</v>
      </c>
      <c r="C27" s="273">
        <v>170615.75999999998</v>
      </c>
      <c r="D27" s="273">
        <v>77110.609999999986</v>
      </c>
      <c r="E27" s="274">
        <f t="shared" si="0"/>
        <v>247726.36999999997</v>
      </c>
      <c r="G27" s="278"/>
      <c r="H27" s="277"/>
      <c r="I27" s="281"/>
      <c r="J27" s="281"/>
    </row>
    <row r="28" spans="1:10" x14ac:dyDescent="0.25">
      <c r="A28" s="271">
        <v>24</v>
      </c>
      <c r="B28" s="292" t="s">
        <v>28</v>
      </c>
      <c r="C28" s="273">
        <v>553530.45000000007</v>
      </c>
      <c r="D28" s="273">
        <v>135446</v>
      </c>
      <c r="E28" s="274">
        <f t="shared" si="0"/>
        <v>688976.45000000007</v>
      </c>
      <c r="G28" s="278"/>
      <c r="H28" s="277"/>
      <c r="I28" s="281"/>
      <c r="J28" s="281"/>
    </row>
    <row r="29" spans="1:10" x14ac:dyDescent="0.25">
      <c r="A29" s="271">
        <v>25</v>
      </c>
      <c r="B29" s="292" t="s">
        <v>13</v>
      </c>
      <c r="C29" s="273"/>
      <c r="D29" s="273">
        <v>66011</v>
      </c>
      <c r="E29" s="274">
        <f t="shared" si="0"/>
        <v>66011</v>
      </c>
      <c r="G29" s="278"/>
      <c r="H29" s="277"/>
      <c r="J29" s="281"/>
    </row>
    <row r="30" spans="1:10" x14ac:dyDescent="0.25">
      <c r="A30" s="271">
        <v>26</v>
      </c>
      <c r="B30" s="292" t="s">
        <v>14</v>
      </c>
      <c r="C30" s="273">
        <v>17611.830000000002</v>
      </c>
      <c r="D30" s="273">
        <v>43672.17</v>
      </c>
      <c r="E30" s="274">
        <f t="shared" si="0"/>
        <v>61284</v>
      </c>
      <c r="G30" s="278"/>
      <c r="H30" s="277"/>
      <c r="I30" s="281"/>
      <c r="J30" s="281"/>
    </row>
    <row r="31" spans="1:10" x14ac:dyDescent="0.25">
      <c r="A31" s="271">
        <v>27</v>
      </c>
      <c r="B31" s="292" t="s">
        <v>44</v>
      </c>
      <c r="C31" s="273">
        <v>372960.55000000005</v>
      </c>
      <c r="D31" s="273">
        <v>152138</v>
      </c>
      <c r="E31" s="274">
        <f t="shared" si="0"/>
        <v>525098.55000000005</v>
      </c>
      <c r="G31" s="278"/>
      <c r="H31" s="277"/>
      <c r="I31" s="281"/>
      <c r="J31" s="281"/>
    </row>
    <row r="32" spans="1:10" x14ac:dyDescent="0.25">
      <c r="A32" s="271">
        <v>28</v>
      </c>
      <c r="B32" s="292" t="s">
        <v>29</v>
      </c>
      <c r="C32" s="273">
        <v>63193.73</v>
      </c>
      <c r="D32" s="273">
        <v>79595</v>
      </c>
      <c r="E32" s="274">
        <f t="shared" si="0"/>
        <v>142788.73000000001</v>
      </c>
      <c r="G32" s="278"/>
      <c r="H32" s="277"/>
      <c r="I32" s="281"/>
      <c r="J32" s="281"/>
    </row>
    <row r="33" spans="1:10" x14ac:dyDescent="0.25">
      <c r="A33" s="271">
        <v>29</v>
      </c>
      <c r="B33" s="292" t="s">
        <v>30</v>
      </c>
      <c r="C33" s="273">
        <v>190650.72000000003</v>
      </c>
      <c r="D33" s="273">
        <v>62333.289999999994</v>
      </c>
      <c r="E33" s="274">
        <f t="shared" si="0"/>
        <v>252984.01</v>
      </c>
      <c r="G33" s="278"/>
      <c r="H33" s="277"/>
      <c r="I33" s="281"/>
      <c r="J33" s="281"/>
    </row>
    <row r="34" spans="1:10" x14ac:dyDescent="0.25">
      <c r="A34" s="271">
        <v>30</v>
      </c>
      <c r="B34" s="292" t="s">
        <v>55</v>
      </c>
      <c r="C34" s="273">
        <v>1943187.73</v>
      </c>
      <c r="D34" s="273">
        <v>499982.7</v>
      </c>
      <c r="E34" s="274">
        <f t="shared" si="0"/>
        <v>2443170.4300000002</v>
      </c>
      <c r="G34" s="278"/>
      <c r="H34" s="277"/>
      <c r="I34" s="281"/>
      <c r="J34" s="281"/>
    </row>
    <row r="35" spans="1:10" x14ac:dyDescent="0.25">
      <c r="A35" s="271">
        <v>31</v>
      </c>
      <c r="B35" s="292" t="s">
        <v>31</v>
      </c>
      <c r="C35" s="273">
        <v>286200.21000000002</v>
      </c>
      <c r="D35" s="273">
        <v>40843.820000000007</v>
      </c>
      <c r="E35" s="274">
        <f t="shared" si="0"/>
        <v>327044.03000000003</v>
      </c>
      <c r="G35" s="278"/>
      <c r="H35" s="277"/>
      <c r="I35" s="281"/>
      <c r="J35" s="281"/>
    </row>
    <row r="36" spans="1:10" x14ac:dyDescent="0.25">
      <c r="A36" s="271">
        <v>32</v>
      </c>
      <c r="B36" s="292" t="s">
        <v>15</v>
      </c>
      <c r="C36" s="273">
        <v>85225.97</v>
      </c>
      <c r="D36" s="273">
        <v>52201.580000000009</v>
      </c>
      <c r="E36" s="274">
        <f t="shared" si="0"/>
        <v>137427.55000000002</v>
      </c>
      <c r="G36" s="278"/>
      <c r="H36" s="277"/>
      <c r="I36" s="281"/>
      <c r="J36" s="281"/>
    </row>
    <row r="37" spans="1:10" x14ac:dyDescent="0.25">
      <c r="A37" s="271">
        <v>33</v>
      </c>
      <c r="B37" s="292" t="s">
        <v>56</v>
      </c>
      <c r="C37" s="273">
        <v>822660.25999999989</v>
      </c>
      <c r="D37" s="273">
        <v>607579.54000000015</v>
      </c>
      <c r="E37" s="274">
        <f t="shared" si="0"/>
        <v>1430239.8</v>
      </c>
      <c r="G37" s="278"/>
      <c r="H37" s="277"/>
      <c r="I37" s="281"/>
      <c r="J37" s="281"/>
    </row>
    <row r="38" spans="1:10" x14ac:dyDescent="0.25">
      <c r="A38" s="271">
        <v>34</v>
      </c>
      <c r="B38" s="292" t="s">
        <v>57</v>
      </c>
      <c r="C38" s="273">
        <v>1216397.4300000002</v>
      </c>
      <c r="D38" s="273">
        <v>432941.79000000004</v>
      </c>
      <c r="E38" s="274">
        <f t="shared" si="0"/>
        <v>1649339.2200000002</v>
      </c>
      <c r="G38" s="278"/>
      <c r="H38" s="277"/>
      <c r="I38" s="281"/>
      <c r="J38" s="281"/>
    </row>
    <row r="39" spans="1:10" x14ac:dyDescent="0.25">
      <c r="A39" s="271">
        <v>35</v>
      </c>
      <c r="B39" s="292" t="s">
        <v>16</v>
      </c>
      <c r="C39" s="273">
        <v>134221.51</v>
      </c>
      <c r="D39" s="273">
        <v>72014.97</v>
      </c>
      <c r="E39" s="274">
        <f t="shared" si="0"/>
        <v>206236.48</v>
      </c>
      <c r="G39" s="278"/>
      <c r="H39" s="277"/>
      <c r="I39" s="281"/>
      <c r="J39" s="281"/>
    </row>
    <row r="40" spans="1:10" x14ac:dyDescent="0.25">
      <c r="A40" s="271">
        <v>36</v>
      </c>
      <c r="B40" s="292" t="s">
        <v>58</v>
      </c>
      <c r="C40" s="273">
        <v>3398540.2100000004</v>
      </c>
      <c r="D40" s="273">
        <v>642347.17999999993</v>
      </c>
      <c r="E40" s="274">
        <f t="shared" si="0"/>
        <v>4040887.3900000006</v>
      </c>
      <c r="G40" s="278"/>
      <c r="H40" s="277"/>
      <c r="I40" s="281"/>
      <c r="J40" s="281"/>
    </row>
    <row r="41" spans="1:10" x14ac:dyDescent="0.25">
      <c r="A41" s="271">
        <v>37</v>
      </c>
      <c r="B41" s="292" t="s">
        <v>59</v>
      </c>
      <c r="C41" s="273">
        <v>2260946</v>
      </c>
      <c r="D41" s="273">
        <v>724614</v>
      </c>
      <c r="E41" s="274">
        <f t="shared" si="0"/>
        <v>2985560</v>
      </c>
      <c r="G41" s="278"/>
      <c r="H41" s="277"/>
      <c r="I41" s="281"/>
      <c r="J41" s="281"/>
    </row>
    <row r="42" spans="1:10" x14ac:dyDescent="0.25">
      <c r="A42" s="271">
        <v>38</v>
      </c>
      <c r="B42" s="292" t="s">
        <v>60</v>
      </c>
      <c r="C42" s="273">
        <v>977646.06</v>
      </c>
      <c r="D42" s="273">
        <v>236193.50999999998</v>
      </c>
      <c r="E42" s="274">
        <f t="shared" si="0"/>
        <v>1213839.57</v>
      </c>
      <c r="G42" s="278"/>
      <c r="H42" s="277"/>
      <c r="I42" s="281"/>
      <c r="J42" s="281"/>
    </row>
    <row r="43" spans="1:10" x14ac:dyDescent="0.25">
      <c r="A43" s="271">
        <v>39</v>
      </c>
      <c r="B43" s="292" t="s">
        <v>45</v>
      </c>
      <c r="C43" s="273">
        <v>661119.78999999992</v>
      </c>
      <c r="D43" s="273">
        <v>199073.82</v>
      </c>
      <c r="E43" s="274">
        <f t="shared" si="0"/>
        <v>860193.60999999987</v>
      </c>
      <c r="G43" s="278"/>
      <c r="H43" s="277"/>
      <c r="I43" s="281"/>
      <c r="J43" s="281"/>
    </row>
    <row r="44" spans="1:10" x14ac:dyDescent="0.25">
      <c r="A44" s="271">
        <v>40</v>
      </c>
      <c r="B44" s="292" t="s">
        <v>32</v>
      </c>
      <c r="C44" s="273">
        <v>149557.92000000001</v>
      </c>
      <c r="D44" s="273">
        <v>60808.87</v>
      </c>
      <c r="E44" s="274">
        <f t="shared" si="0"/>
        <v>210366.79</v>
      </c>
      <c r="G44" s="278"/>
      <c r="H44" s="277"/>
      <c r="I44" s="281"/>
      <c r="J44" s="281"/>
    </row>
    <row r="45" spans="1:10" x14ac:dyDescent="0.25">
      <c r="A45" s="271">
        <v>41</v>
      </c>
      <c r="B45" s="292" t="s">
        <v>46</v>
      </c>
      <c r="C45" s="273">
        <v>388990.98</v>
      </c>
      <c r="D45" s="273">
        <v>177318</v>
      </c>
      <c r="E45" s="274">
        <f t="shared" si="0"/>
        <v>566308.98</v>
      </c>
      <c r="G45" s="278"/>
      <c r="H45" s="277"/>
      <c r="I45" s="281"/>
      <c r="J45" s="281"/>
    </row>
    <row r="46" spans="1:10" x14ac:dyDescent="0.25">
      <c r="A46" s="271">
        <v>42</v>
      </c>
      <c r="B46" s="292" t="s">
        <v>47</v>
      </c>
      <c r="C46" s="273">
        <v>509592</v>
      </c>
      <c r="D46" s="273">
        <v>141327.76999999999</v>
      </c>
      <c r="E46" s="274">
        <f t="shared" si="0"/>
        <v>650919.77</v>
      </c>
      <c r="G46" s="278"/>
      <c r="H46" s="277"/>
      <c r="I46" s="281"/>
      <c r="J46" s="281"/>
    </row>
    <row r="47" spans="1:10" x14ac:dyDescent="0.25">
      <c r="A47" s="271">
        <v>43</v>
      </c>
      <c r="B47" s="292" t="s">
        <v>61</v>
      </c>
      <c r="C47" s="273">
        <v>1470490.37</v>
      </c>
      <c r="D47" s="273">
        <v>390809.01</v>
      </c>
      <c r="E47" s="274">
        <f t="shared" si="0"/>
        <v>1861299.3800000001</v>
      </c>
      <c r="G47" s="278"/>
      <c r="H47" s="277"/>
      <c r="I47" s="281"/>
      <c r="J47" s="281"/>
    </row>
    <row r="48" spans="1:10" x14ac:dyDescent="0.25">
      <c r="A48" s="271">
        <v>44</v>
      </c>
      <c r="B48" s="292" t="s">
        <v>33</v>
      </c>
      <c r="C48" s="273">
        <v>191114.97</v>
      </c>
      <c r="D48" s="273">
        <v>92849.24</v>
      </c>
      <c r="E48" s="274">
        <f t="shared" si="0"/>
        <v>283964.21000000002</v>
      </c>
      <c r="G48" s="278"/>
      <c r="H48" s="277"/>
      <c r="I48" s="281"/>
      <c r="J48" s="281"/>
    </row>
    <row r="49" spans="1:10" x14ac:dyDescent="0.25">
      <c r="A49" s="271">
        <v>45</v>
      </c>
      <c r="B49" s="292" t="s">
        <v>34</v>
      </c>
      <c r="C49" s="273">
        <v>342512.74000000005</v>
      </c>
      <c r="D49" s="273">
        <v>172872.86000000002</v>
      </c>
      <c r="E49" s="274">
        <f t="shared" si="0"/>
        <v>515385.60000000009</v>
      </c>
      <c r="G49" s="278"/>
      <c r="H49" s="277"/>
      <c r="I49" s="281"/>
      <c r="J49" s="281"/>
    </row>
    <row r="50" spans="1:10" x14ac:dyDescent="0.25">
      <c r="A50" s="271">
        <v>46</v>
      </c>
      <c r="B50" s="290" t="s">
        <v>17</v>
      </c>
      <c r="C50" s="273"/>
      <c r="D50" s="273"/>
      <c r="E50" s="274">
        <f t="shared" si="0"/>
        <v>0</v>
      </c>
      <c r="G50" s="277"/>
      <c r="H50" s="277"/>
    </row>
    <row r="51" spans="1:10" x14ac:dyDescent="0.25">
      <c r="A51" s="271">
        <v>47</v>
      </c>
      <c r="B51" s="292" t="s">
        <v>35</v>
      </c>
      <c r="C51" s="273">
        <v>62561.679999999993</v>
      </c>
      <c r="D51" s="273">
        <v>93859.77</v>
      </c>
      <c r="E51" s="274">
        <f t="shared" si="0"/>
        <v>156421.45000000001</v>
      </c>
      <c r="G51" s="277"/>
      <c r="H51" s="277"/>
      <c r="I51" s="281"/>
      <c r="J51" s="281"/>
    </row>
    <row r="52" spans="1:10" x14ac:dyDescent="0.25">
      <c r="A52" s="271">
        <v>48</v>
      </c>
      <c r="B52" s="292" t="s">
        <v>48</v>
      </c>
      <c r="C52" s="273">
        <v>468454.99000000005</v>
      </c>
      <c r="D52" s="273">
        <v>133638.99</v>
      </c>
      <c r="E52" s="274">
        <f t="shared" si="0"/>
        <v>602093.98</v>
      </c>
      <c r="G52" s="277"/>
      <c r="H52" s="277"/>
      <c r="I52" s="281"/>
      <c r="J52" s="281"/>
    </row>
    <row r="53" spans="1:10" x14ac:dyDescent="0.25">
      <c r="A53" s="271">
        <v>49</v>
      </c>
      <c r="B53" s="292" t="s">
        <v>49</v>
      </c>
      <c r="C53" s="273">
        <v>469079.42999999993</v>
      </c>
      <c r="D53" s="273">
        <v>167744.79999999993</v>
      </c>
      <c r="E53" s="274">
        <f t="shared" si="0"/>
        <v>636824.22999999986</v>
      </c>
      <c r="G53" s="277"/>
      <c r="H53" s="277"/>
      <c r="I53" s="281"/>
      <c r="J53" s="281"/>
    </row>
    <row r="54" spans="1:10" x14ac:dyDescent="0.25">
      <c r="A54" s="271">
        <v>50</v>
      </c>
      <c r="B54" s="292" t="s">
        <v>50</v>
      </c>
      <c r="C54" s="273">
        <v>825475.56</v>
      </c>
      <c r="D54" s="273">
        <v>248332.99999999997</v>
      </c>
      <c r="E54" s="274">
        <f t="shared" si="0"/>
        <v>1073808.56</v>
      </c>
      <c r="G54" s="277"/>
      <c r="H54" s="277"/>
      <c r="I54" s="281"/>
      <c r="J54" s="281"/>
    </row>
    <row r="55" spans="1:10" x14ac:dyDescent="0.25">
      <c r="A55" s="271">
        <v>51</v>
      </c>
      <c r="B55" s="292" t="s">
        <v>36</v>
      </c>
      <c r="C55" s="273">
        <v>155423.57999999999</v>
      </c>
      <c r="D55" s="273">
        <v>71296.87</v>
      </c>
      <c r="E55" s="274">
        <f t="shared" si="0"/>
        <v>226720.44999999998</v>
      </c>
      <c r="G55" s="277"/>
      <c r="H55" s="277"/>
      <c r="I55" s="281"/>
      <c r="J55" s="281"/>
    </row>
    <row r="56" spans="1:10" x14ac:dyDescent="0.25">
      <c r="A56" s="271">
        <v>52</v>
      </c>
      <c r="B56" s="292" t="s">
        <v>37</v>
      </c>
      <c r="C56" s="273">
        <v>128523.85</v>
      </c>
      <c r="D56" s="273">
        <v>27918</v>
      </c>
      <c r="E56" s="274">
        <f t="shared" si="0"/>
        <v>156441.85</v>
      </c>
      <c r="G56" s="277"/>
      <c r="H56" s="277"/>
      <c r="I56" s="281"/>
      <c r="J56" s="281"/>
    </row>
    <row r="57" spans="1:10" x14ac:dyDescent="0.25">
      <c r="A57" s="271">
        <v>53</v>
      </c>
      <c r="B57" s="290" t="s">
        <v>18</v>
      </c>
      <c r="C57" s="273"/>
      <c r="D57" s="273"/>
      <c r="E57" s="274">
        <f t="shared" si="0"/>
        <v>0</v>
      </c>
      <c r="G57" s="277"/>
      <c r="H57" s="277"/>
    </row>
    <row r="58" spans="1:10" x14ac:dyDescent="0.25">
      <c r="A58" s="271">
        <v>54</v>
      </c>
      <c r="B58" s="292" t="s">
        <v>51</v>
      </c>
      <c r="C58" s="273">
        <v>498686.25</v>
      </c>
      <c r="D58" s="273">
        <v>355338.62999999989</v>
      </c>
      <c r="E58" s="274">
        <f t="shared" si="0"/>
        <v>854024.87999999989</v>
      </c>
      <c r="G58" s="277"/>
      <c r="H58" s="277"/>
      <c r="I58" s="281"/>
      <c r="J58" s="281"/>
    </row>
    <row r="59" spans="1:10" x14ac:dyDescent="0.25">
      <c r="A59" s="271">
        <v>55</v>
      </c>
      <c r="B59" s="292" t="s">
        <v>38</v>
      </c>
      <c r="C59" s="273">
        <v>181969.00000000003</v>
      </c>
      <c r="D59" s="273">
        <v>67219.049999999988</v>
      </c>
      <c r="E59" s="274">
        <f t="shared" si="0"/>
        <v>249188.05000000002</v>
      </c>
      <c r="G59" s="277"/>
      <c r="H59" s="277"/>
      <c r="I59" s="281"/>
      <c r="J59" s="281"/>
    </row>
    <row r="60" spans="1:10" x14ac:dyDescent="0.25">
      <c r="A60" s="271">
        <v>56</v>
      </c>
      <c r="B60" s="292" t="s">
        <v>52</v>
      </c>
      <c r="C60" s="273">
        <v>431196.02</v>
      </c>
      <c r="D60" s="273">
        <v>283825.53999999998</v>
      </c>
      <c r="E60" s="274">
        <f t="shared" si="0"/>
        <v>715021.56</v>
      </c>
      <c r="G60" s="277"/>
      <c r="H60" s="277"/>
      <c r="I60" s="281"/>
      <c r="J60" s="281"/>
    </row>
    <row r="61" spans="1:10" x14ac:dyDescent="0.25">
      <c r="A61" s="271">
        <v>57</v>
      </c>
      <c r="B61" s="292" t="s">
        <v>39</v>
      </c>
      <c r="C61" s="273">
        <v>132810.30999999997</v>
      </c>
      <c r="D61" s="273">
        <v>95960.99</v>
      </c>
      <c r="E61" s="274">
        <f t="shared" si="0"/>
        <v>228771.3</v>
      </c>
      <c r="G61" s="277"/>
      <c r="H61" s="277"/>
      <c r="I61" s="281"/>
      <c r="J61" s="281"/>
    </row>
    <row r="62" spans="1:10" x14ac:dyDescent="0.25">
      <c r="A62" s="271">
        <v>58</v>
      </c>
      <c r="B62" s="292" t="s">
        <v>40</v>
      </c>
      <c r="C62" s="297">
        <v>193858.91999999998</v>
      </c>
      <c r="D62" s="297">
        <v>86335.99</v>
      </c>
      <c r="E62" s="274">
        <f t="shared" si="0"/>
        <v>280194.90999999997</v>
      </c>
      <c r="G62" s="277"/>
      <c r="H62" s="277"/>
      <c r="I62" s="281"/>
      <c r="J62" s="281"/>
    </row>
    <row r="63" spans="1:10" x14ac:dyDescent="0.25">
      <c r="B63" s="291" t="s">
        <v>211</v>
      </c>
      <c r="C63" s="93">
        <f>SUM(C5:C62)</f>
        <v>33065341.549999997</v>
      </c>
      <c r="D63" s="93">
        <f>SUM(D5:D62)</f>
        <v>11201642.139999997</v>
      </c>
      <c r="E63" s="93">
        <f>SUM(E5:E62)</f>
        <v>44266983.690000005</v>
      </c>
    </row>
  </sheetData>
  <pageMargins left="0.7" right="0.7" top="0.75" bottom="0.75" header="0.3" footer="0.3"/>
  <pageSetup orientation="portrait" horizontalDpi="1200" verticalDpi="1200" r:id="rId1"/>
  <ignoredErrors>
    <ignoredError sqref="E6" evalErro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pageSetUpPr fitToPage="1"/>
  </sheetPr>
  <dimension ref="A1:V75"/>
  <sheetViews>
    <sheetView zoomScaleNormal="100" workbookViewId="0">
      <pane xSplit="2" ySplit="6" topLeftCell="C7" activePane="bottomRight" state="frozen"/>
      <selection pane="topRight" activeCell="C1" sqref="C1"/>
      <selection pane="bottomLeft" activeCell="A7" sqref="A7"/>
      <selection pane="bottomRight" activeCell="E7" sqref="E7"/>
    </sheetView>
  </sheetViews>
  <sheetFormatPr defaultColWidth="9.140625" defaultRowHeight="15" x14ac:dyDescent="0.25"/>
  <cols>
    <col min="1" max="1" width="8.42578125" style="180" customWidth="1"/>
    <col min="2" max="2" width="13.85546875" style="55" bestFit="1" customWidth="1"/>
    <col min="3" max="3" width="1.85546875" style="64" customWidth="1"/>
    <col min="4" max="4" width="14.140625" style="55" bestFit="1" customWidth="1"/>
    <col min="5" max="5" width="10" style="59" bestFit="1" customWidth="1"/>
    <col min="6" max="6" width="14.85546875" style="182" bestFit="1" customWidth="1"/>
    <col min="7" max="7" width="1.85546875" style="64" customWidth="1"/>
    <col min="8" max="8" width="12.140625" style="182" bestFit="1" customWidth="1"/>
    <col min="9" max="9" width="9.140625" style="182" customWidth="1"/>
    <col min="10" max="11" width="12.5703125" style="180" bestFit="1" customWidth="1"/>
    <col min="12" max="12" width="1.85546875" style="64" customWidth="1"/>
    <col min="13" max="13" width="13" style="182" customWidth="1"/>
    <col min="14" max="15" width="10.85546875" style="180" hidden="1" customWidth="1"/>
    <col min="16" max="16" width="12.85546875" style="180" hidden="1" customWidth="1"/>
    <col min="17" max="17" width="14" style="180" hidden="1" customWidth="1"/>
    <col min="18" max="18" width="9" style="180" hidden="1" customWidth="1"/>
    <col min="19" max="19" width="12.140625" style="180" hidden="1" customWidth="1"/>
    <col min="20" max="20" width="13.42578125" style="180" hidden="1" customWidth="1"/>
    <col min="21" max="16384" width="9.140625" style="180"/>
  </cols>
  <sheetData>
    <row r="1" spans="1:20" ht="23.85" customHeight="1" x14ac:dyDescent="0.25">
      <c r="A1" s="184" t="s">
        <v>186</v>
      </c>
      <c r="C1" s="53"/>
      <c r="G1" s="53"/>
      <c r="L1" s="53"/>
    </row>
    <row r="2" spans="1:20" ht="16.5" customHeight="1" x14ac:dyDescent="0.25">
      <c r="A2" s="185" t="s">
        <v>204</v>
      </c>
      <c r="C2" s="53"/>
      <c r="G2" s="53"/>
      <c r="L2" s="53"/>
    </row>
    <row r="3" spans="1:20" ht="16.5" customHeight="1" x14ac:dyDescent="0.25">
      <c r="C3" s="53"/>
      <c r="G3" s="53"/>
      <c r="L3" s="53"/>
    </row>
    <row r="4" spans="1:20" ht="16.5" customHeight="1" x14ac:dyDescent="0.25">
      <c r="A4" s="351"/>
      <c r="B4" s="351"/>
      <c r="C4" s="85"/>
      <c r="D4" s="351"/>
      <c r="E4" s="351"/>
      <c r="G4" s="85"/>
      <c r="H4" s="325" t="s">
        <v>96</v>
      </c>
      <c r="I4" s="326"/>
      <c r="J4" s="326"/>
      <c r="K4" s="326"/>
      <c r="L4" s="85"/>
      <c r="N4" s="355"/>
      <c r="O4" s="355"/>
      <c r="P4" s="355"/>
      <c r="Q4" s="355"/>
      <c r="R4" s="355"/>
      <c r="S4" s="355"/>
      <c r="T4" s="189"/>
    </row>
    <row r="5" spans="1:20" ht="67.349999999999994" customHeight="1" x14ac:dyDescent="0.25">
      <c r="A5" s="352" t="s">
        <v>68</v>
      </c>
      <c r="B5" s="353" t="s">
        <v>63</v>
      </c>
      <c r="C5" s="85"/>
      <c r="D5" s="10" t="s">
        <v>184</v>
      </c>
      <c r="E5" s="11" t="s">
        <v>97</v>
      </c>
      <c r="F5" s="11" t="s">
        <v>187</v>
      </c>
      <c r="G5" s="85"/>
      <c r="H5" s="78" t="s">
        <v>75</v>
      </c>
      <c r="I5" s="78" t="s">
        <v>188</v>
      </c>
      <c r="J5" s="78" t="s">
        <v>192</v>
      </c>
      <c r="K5" s="78" t="s">
        <v>189</v>
      </c>
      <c r="L5" s="85"/>
      <c r="M5" s="77" t="s">
        <v>191</v>
      </c>
      <c r="N5" s="188" t="s">
        <v>78</v>
      </c>
      <c r="O5" s="188" t="s">
        <v>79</v>
      </c>
      <c r="P5" s="190" t="s">
        <v>107</v>
      </c>
      <c r="Q5" s="190" t="s">
        <v>94</v>
      </c>
      <c r="R5" s="190" t="s">
        <v>82</v>
      </c>
      <c r="S5" s="188" t="s">
        <v>95</v>
      </c>
      <c r="T5" s="188" t="s">
        <v>99</v>
      </c>
    </row>
    <row r="6" spans="1:20" x14ac:dyDescent="0.25">
      <c r="A6" s="352"/>
      <c r="B6" s="353"/>
      <c r="C6" s="85"/>
      <c r="D6" s="82" t="s">
        <v>65</v>
      </c>
      <c r="E6" s="82" t="s">
        <v>1</v>
      </c>
      <c r="F6" s="82" t="s">
        <v>66</v>
      </c>
      <c r="G6" s="85"/>
      <c r="H6" s="82" t="s">
        <v>2</v>
      </c>
      <c r="I6" s="82" t="s">
        <v>3</v>
      </c>
      <c r="J6" s="82" t="s">
        <v>83</v>
      </c>
      <c r="K6" s="82" t="s">
        <v>110</v>
      </c>
      <c r="L6" s="85"/>
      <c r="M6" s="82" t="s">
        <v>84</v>
      </c>
      <c r="N6" s="188"/>
      <c r="O6" s="188"/>
      <c r="P6" s="190"/>
      <c r="Q6" s="190"/>
      <c r="R6" s="190"/>
      <c r="S6" s="188"/>
      <c r="T6" s="188"/>
    </row>
    <row r="7" spans="1:20" s="55" customFormat="1" ht="16.5" customHeight="1" x14ac:dyDescent="0.25">
      <c r="A7" s="68">
        <v>4</v>
      </c>
      <c r="B7" s="69" t="s">
        <v>53</v>
      </c>
      <c r="C7" s="86"/>
      <c r="D7" s="203">
        <f>VLOOKUP(B7,'WF Need'!$B$7:$AB$64,27, FALSE)</f>
        <v>88721291.9274638</v>
      </c>
      <c r="E7" s="96">
        <f>D7/$D$65</f>
        <v>3.3113532497391386E-2</v>
      </c>
      <c r="F7" s="269" t="e">
        <f>#REF!</f>
        <v>#REF!</v>
      </c>
      <c r="G7" s="86"/>
      <c r="H7" s="204" t="e">
        <f>IF(F7&lt;Floors!$E$4,Floors!$E$4, "-")</f>
        <v>#REF!</v>
      </c>
      <c r="I7" s="68" t="e">
        <f>IF(H7=800000,"Y","N")</f>
        <v>#REF!</v>
      </c>
      <c r="J7" s="201" t="e">
        <f>IF(I7="Y",VLOOKUP(B7,#REF!,2,FALSE)*1.1,"N/A ")</f>
        <v>#REF!</v>
      </c>
      <c r="K7" s="201" t="e">
        <f t="shared" ref="K7:K64" si="0">IF(I7="Y",F7, "N/A ")</f>
        <v>#REF!</v>
      </c>
      <c r="L7" s="86"/>
      <c r="M7" s="201" t="e">
        <f>IF(I7="Y",IF(H7=750000,750000,O7),"N/A")</f>
        <v>#REF!</v>
      </c>
      <c r="N7" s="191" t="e">
        <f t="shared" ref="N7:N64" si="1">IF(J7&lt;H7,J7,H7)</f>
        <v>#REF!</v>
      </c>
      <c r="O7" s="189" t="e">
        <f t="shared" ref="O7:O64" si="2">IF(K7&gt;N7,K7,N7)</f>
        <v>#REF!</v>
      </c>
      <c r="P7" s="191" t="e">
        <f>IF(M7="n/a",(IF(AND(H7=750000,(F7&gt;750000)), H7-F7, 0)),M7-F7)</f>
        <v>#REF!</v>
      </c>
      <c r="Q7" s="191" t="e">
        <f>IF(AND(P7=0,I7="N"),F7,0)</f>
        <v>#REF!</v>
      </c>
      <c r="R7" s="192" t="e">
        <f>Q7/$Q$65</f>
        <v>#REF!</v>
      </c>
      <c r="S7" s="191" t="e">
        <f>IF(P7=0,-R7*$P$65,0)</f>
        <v>#REF!</v>
      </c>
      <c r="T7" s="191" t="e">
        <f>IF(P7=0,-R7*$P$65,P7)</f>
        <v>#REF!</v>
      </c>
    </row>
    <row r="8" spans="1:20" s="55" customFormat="1" ht="16.5" customHeight="1" x14ac:dyDescent="0.25">
      <c r="A8" s="68">
        <v>1</v>
      </c>
      <c r="B8" s="69" t="s">
        <v>4</v>
      </c>
      <c r="C8" s="85"/>
      <c r="D8" s="198">
        <f>VLOOKUP(B8,'WF Need'!$B$7:$AB$64,27, FALSE)</f>
        <v>449771.56804500439</v>
      </c>
      <c r="E8" s="96">
        <f t="shared" ref="E8:E64" si="3">D8/$D$65</f>
        <v>1.6786867178441775E-4</v>
      </c>
      <c r="F8" s="9" t="e">
        <f>#REF!</f>
        <v>#REF!</v>
      </c>
      <c r="G8" s="85"/>
      <c r="H8" s="204" t="e">
        <f>IF(F8&lt;Floors!$E$4,Floors!$E$4, "-")</f>
        <v>#REF!</v>
      </c>
      <c r="I8" s="68" t="e">
        <f t="shared" ref="I8:I64" si="4">IF(H8=800000,"Y","N")</f>
        <v>#REF!</v>
      </c>
      <c r="J8" s="201" t="e">
        <f>IF(I8="Y",VLOOKUP(B8,#REF!,2,FALSE)*1.1,"N/A ")</f>
        <v>#REF!</v>
      </c>
      <c r="K8" s="201" t="e">
        <f>IF(I8="Y",F8, "N/A ")</f>
        <v>#REF!</v>
      </c>
      <c r="L8" s="85"/>
      <c r="M8" s="201" t="e">
        <f t="shared" ref="M8:M64" si="5">IF(I8="Y",IF(H8=750000,750000,O8),"N/A")</f>
        <v>#REF!</v>
      </c>
      <c r="N8" s="191" t="e">
        <f>IF(J8&lt;H8,J8,H8)</f>
        <v>#REF!</v>
      </c>
      <c r="O8" s="189" t="e">
        <f>IF(K8&gt;N8,K8,N8)</f>
        <v>#REF!</v>
      </c>
      <c r="P8" s="191" t="e">
        <f>IF(M8="n/a",(IF(AND(H8=750000,(F8&gt;750000)), H8-F8, 0)),M8-F8)</f>
        <v>#REF!</v>
      </c>
      <c r="Q8" s="191" t="e">
        <f t="shared" ref="Q8:Q64" si="6">IF(AND(P8=0,I8="N"),F8,0)</f>
        <v>#REF!</v>
      </c>
      <c r="R8" s="192" t="e">
        <f>Q8/$Q$65</f>
        <v>#REF!</v>
      </c>
      <c r="S8" s="191" t="e">
        <f>IF(P8=0,-R8*$P$65,0)</f>
        <v>#REF!</v>
      </c>
      <c r="T8" s="191" t="e">
        <f>IF(P8=0,-R8*$P$65,P8)</f>
        <v>#REF!</v>
      </c>
    </row>
    <row r="9" spans="1:20" s="55" customFormat="1" ht="16.5" customHeight="1" x14ac:dyDescent="0.25">
      <c r="A9" s="68">
        <v>1</v>
      </c>
      <c r="B9" s="69" t="s">
        <v>5</v>
      </c>
      <c r="D9" s="198">
        <f>VLOOKUP(B9,'WF Need'!$B$7:$AB$64,27, FALSE)</f>
        <v>3977456.0731330076</v>
      </c>
      <c r="E9" s="96">
        <f t="shared" si="3"/>
        <v>1.4845097278601092E-3</v>
      </c>
      <c r="F9" s="9" t="e">
        <f>#REF!</f>
        <v>#REF!</v>
      </c>
      <c r="H9" s="204" t="e">
        <f>IF(F9&lt;Floors!$E$4,Floors!$E$4, "-")</f>
        <v>#REF!</v>
      </c>
      <c r="I9" s="68" t="e">
        <f t="shared" si="4"/>
        <v>#REF!</v>
      </c>
      <c r="J9" s="201" t="e">
        <f>IF(I9="Y",VLOOKUP(B9,#REF!,2,FALSE)*1.1,"N/A ")</f>
        <v>#REF!</v>
      </c>
      <c r="K9" s="201" t="e">
        <f t="shared" si="0"/>
        <v>#REF!</v>
      </c>
      <c r="M9" s="201" t="e">
        <f t="shared" si="5"/>
        <v>#REF!</v>
      </c>
      <c r="N9" s="191" t="e">
        <f t="shared" si="1"/>
        <v>#REF!</v>
      </c>
      <c r="O9" s="189" t="e">
        <f t="shared" si="2"/>
        <v>#REF!</v>
      </c>
      <c r="P9" s="191" t="e">
        <f t="shared" ref="P9:P27" si="7">IF(M9="n/a",(IF(AND(H9=750000,(F9&gt;750000)), H9-F9, 0)),M9-F9)</f>
        <v>#REF!</v>
      </c>
      <c r="Q9" s="191" t="e">
        <f t="shared" si="6"/>
        <v>#REF!</v>
      </c>
      <c r="R9" s="192" t="e">
        <f t="shared" ref="R9:R64" si="8">Q9/$Q$65</f>
        <v>#REF!</v>
      </c>
      <c r="S9" s="191" t="e">
        <f t="shared" ref="S9:S64" si="9">IF(P9=0,-R9*$P$65,0)</f>
        <v>#REF!</v>
      </c>
      <c r="T9" s="191" t="e">
        <f t="shared" ref="T9:T64" si="10">IF(P9=0,-R9*$P$65,P9)</f>
        <v>#REF!</v>
      </c>
    </row>
    <row r="10" spans="1:20" s="55" customFormat="1" ht="16.5" customHeight="1" x14ac:dyDescent="0.25">
      <c r="A10" s="68">
        <v>2</v>
      </c>
      <c r="B10" s="69" t="s">
        <v>19</v>
      </c>
      <c r="D10" s="198">
        <f>VLOOKUP(B10,'WF Need'!$B$7:$AB$64,27, FALSE)</f>
        <v>14791476.663493136</v>
      </c>
      <c r="E10" s="96">
        <f t="shared" si="3"/>
        <v>5.5206369580532294E-3</v>
      </c>
      <c r="F10" s="9" t="e">
        <f>#REF!</f>
        <v>#REF!</v>
      </c>
      <c r="H10" s="204" t="e">
        <f>IF(F10&lt;Floors!$E$4,Floors!$E$4, "-")</f>
        <v>#REF!</v>
      </c>
      <c r="I10" s="68" t="e">
        <f t="shared" si="4"/>
        <v>#REF!</v>
      </c>
      <c r="J10" s="201" t="e">
        <f>IF(I10="Y",VLOOKUP(B10,#REF!,2,FALSE)*1.1,"N/A ")</f>
        <v>#REF!</v>
      </c>
      <c r="K10" s="201" t="e">
        <f t="shared" si="0"/>
        <v>#REF!</v>
      </c>
      <c r="M10" s="201" t="e">
        <f t="shared" si="5"/>
        <v>#REF!</v>
      </c>
      <c r="N10" s="191" t="e">
        <f t="shared" si="1"/>
        <v>#REF!</v>
      </c>
      <c r="O10" s="189" t="e">
        <f t="shared" si="2"/>
        <v>#REF!</v>
      </c>
      <c r="P10" s="191" t="e">
        <f t="shared" si="7"/>
        <v>#REF!</v>
      </c>
      <c r="Q10" s="191" t="e">
        <f t="shared" si="6"/>
        <v>#REF!</v>
      </c>
      <c r="R10" s="192" t="e">
        <f t="shared" si="8"/>
        <v>#REF!</v>
      </c>
      <c r="S10" s="191" t="e">
        <f t="shared" si="9"/>
        <v>#REF!</v>
      </c>
      <c r="T10" s="191" t="e">
        <f t="shared" si="10"/>
        <v>#REF!</v>
      </c>
    </row>
    <row r="11" spans="1:20" s="55" customFormat="1" ht="16.5" customHeight="1" x14ac:dyDescent="0.25">
      <c r="A11" s="68">
        <v>1</v>
      </c>
      <c r="B11" s="69" t="s">
        <v>6</v>
      </c>
      <c r="D11" s="198">
        <f>VLOOKUP(B11,'WF Need'!$B$7:$AB$64,27, FALSE)</f>
        <v>3287844.80498116</v>
      </c>
      <c r="E11" s="96">
        <f t="shared" si="3"/>
        <v>1.2271254558052886E-3</v>
      </c>
      <c r="F11" s="9" t="e">
        <f>#REF!</f>
        <v>#REF!</v>
      </c>
      <c r="H11" s="204" t="e">
        <f>IF(F11&lt;Floors!$E$4,Floors!$E$4, "-")</f>
        <v>#REF!</v>
      </c>
      <c r="I11" s="68" t="e">
        <f t="shared" si="4"/>
        <v>#REF!</v>
      </c>
      <c r="J11" s="201" t="e">
        <f>IF(I11="Y",VLOOKUP(B11,#REF!,2,FALSE)*1.1,"N/A ")</f>
        <v>#REF!</v>
      </c>
      <c r="K11" s="201" t="e">
        <f t="shared" si="0"/>
        <v>#REF!</v>
      </c>
      <c r="M11" s="201" t="e">
        <f t="shared" si="5"/>
        <v>#REF!</v>
      </c>
      <c r="N11" s="191" t="e">
        <f t="shared" si="1"/>
        <v>#REF!</v>
      </c>
      <c r="O11" s="189" t="e">
        <f t="shared" si="2"/>
        <v>#REF!</v>
      </c>
      <c r="P11" s="191" t="e">
        <f t="shared" si="7"/>
        <v>#REF!</v>
      </c>
      <c r="Q11" s="191" t="e">
        <f t="shared" si="6"/>
        <v>#REF!</v>
      </c>
      <c r="R11" s="192" t="e">
        <f t="shared" si="8"/>
        <v>#REF!</v>
      </c>
      <c r="S11" s="191" t="e">
        <f t="shared" si="9"/>
        <v>#REF!</v>
      </c>
      <c r="T11" s="191" t="e">
        <f t="shared" si="10"/>
        <v>#REF!</v>
      </c>
    </row>
    <row r="12" spans="1:20" s="55" customFormat="1" ht="16.5" customHeight="1" x14ac:dyDescent="0.25">
      <c r="A12" s="68">
        <v>1</v>
      </c>
      <c r="B12" s="69" t="s">
        <v>7</v>
      </c>
      <c r="C12" s="87"/>
      <c r="D12" s="198">
        <f>VLOOKUP(B12,'WF Need'!$B$7:$AB$64,27, FALSE)</f>
        <v>2241284.5664352747</v>
      </c>
      <c r="E12" s="96">
        <f t="shared" si="3"/>
        <v>8.365167787145613E-4</v>
      </c>
      <c r="F12" s="9" t="e">
        <f>#REF!</f>
        <v>#REF!</v>
      </c>
      <c r="G12" s="87"/>
      <c r="H12" s="204" t="e">
        <f>IF(F12&lt;Floors!$E$4,Floors!$E$4, "-")</f>
        <v>#REF!</v>
      </c>
      <c r="I12" s="68" t="e">
        <f t="shared" si="4"/>
        <v>#REF!</v>
      </c>
      <c r="J12" s="201" t="e">
        <f>IF(I12="Y",VLOOKUP(B12,#REF!,2,FALSE)*1.1,"N/A ")</f>
        <v>#REF!</v>
      </c>
      <c r="K12" s="201" t="e">
        <f t="shared" si="0"/>
        <v>#REF!</v>
      </c>
      <c r="L12" s="87"/>
      <c r="M12" s="201" t="e">
        <f t="shared" si="5"/>
        <v>#REF!</v>
      </c>
      <c r="N12" s="191" t="e">
        <f t="shared" si="1"/>
        <v>#REF!</v>
      </c>
      <c r="O12" s="189" t="e">
        <f>IF(K12&gt;N12,K12,N12)</f>
        <v>#REF!</v>
      </c>
      <c r="P12" s="191" t="e">
        <f t="shared" si="7"/>
        <v>#REF!</v>
      </c>
      <c r="Q12" s="191" t="e">
        <f t="shared" si="6"/>
        <v>#REF!</v>
      </c>
      <c r="R12" s="192" t="e">
        <f t="shared" si="8"/>
        <v>#REF!</v>
      </c>
      <c r="S12" s="191" t="e">
        <f t="shared" si="9"/>
        <v>#REF!</v>
      </c>
      <c r="T12" s="191" t="e">
        <f t="shared" si="10"/>
        <v>#REF!</v>
      </c>
    </row>
    <row r="13" spans="1:20" s="55" customFormat="1" ht="16.5" customHeight="1" x14ac:dyDescent="0.25">
      <c r="A13" s="68">
        <v>3</v>
      </c>
      <c r="B13" s="69" t="s">
        <v>41</v>
      </c>
      <c r="D13" s="198">
        <f>VLOOKUP(B13,'WF Need'!$B$7:$AB$64,27, FALSE)</f>
        <v>57057062.163840853</v>
      </c>
      <c r="E13" s="96">
        <f t="shared" si="3"/>
        <v>2.1295461789631247E-2</v>
      </c>
      <c r="F13" s="9" t="e">
        <f>#REF!</f>
        <v>#REF!</v>
      </c>
      <c r="H13" s="204" t="e">
        <f>IF(F13&lt;Floors!$E$4,Floors!$E$4, "-")</f>
        <v>#REF!</v>
      </c>
      <c r="I13" s="68" t="e">
        <f t="shared" si="4"/>
        <v>#REF!</v>
      </c>
      <c r="J13" s="201" t="e">
        <f>IF(I13="Y",VLOOKUP(B13,#REF!,2,FALSE)*1.1,"N/A ")</f>
        <v>#REF!</v>
      </c>
      <c r="K13" s="201" t="e">
        <f t="shared" si="0"/>
        <v>#REF!</v>
      </c>
      <c r="M13" s="201" t="e">
        <f t="shared" si="5"/>
        <v>#REF!</v>
      </c>
      <c r="N13" s="191" t="e">
        <f t="shared" si="1"/>
        <v>#REF!</v>
      </c>
      <c r="O13" s="189" t="e">
        <f t="shared" si="2"/>
        <v>#REF!</v>
      </c>
      <c r="P13" s="191" t="e">
        <f t="shared" si="7"/>
        <v>#REF!</v>
      </c>
      <c r="Q13" s="191" t="e">
        <f t="shared" si="6"/>
        <v>#REF!</v>
      </c>
      <c r="R13" s="192" t="e">
        <f t="shared" si="8"/>
        <v>#REF!</v>
      </c>
      <c r="S13" s="191" t="e">
        <f t="shared" si="9"/>
        <v>#REF!</v>
      </c>
      <c r="T13" s="191" t="e">
        <f t="shared" si="10"/>
        <v>#REF!</v>
      </c>
    </row>
    <row r="14" spans="1:20" s="55" customFormat="1" ht="16.5" customHeight="1" x14ac:dyDescent="0.25">
      <c r="A14" s="68">
        <v>1</v>
      </c>
      <c r="B14" s="69" t="s">
        <v>8</v>
      </c>
      <c r="D14" s="198">
        <f>VLOOKUP(B14,'WF Need'!$B$7:$AB$64,27, FALSE)</f>
        <v>3721890.5036162646</v>
      </c>
      <c r="E14" s="96">
        <f t="shared" si="3"/>
        <v>1.3891247463347512E-3</v>
      </c>
      <c r="F14" s="9" t="e">
        <f>#REF!</f>
        <v>#REF!</v>
      </c>
      <c r="H14" s="204" t="e">
        <f>IF(F14&lt;Floors!$E$4,Floors!$E$4, "-")</f>
        <v>#REF!</v>
      </c>
      <c r="I14" s="68" t="e">
        <f t="shared" si="4"/>
        <v>#REF!</v>
      </c>
      <c r="J14" s="201" t="e">
        <f>IF(I14="Y",VLOOKUP(B14,#REF!,2,FALSE)*1.1,"N/A ")</f>
        <v>#REF!</v>
      </c>
      <c r="K14" s="201" t="e">
        <f t="shared" si="0"/>
        <v>#REF!</v>
      </c>
      <c r="M14" s="201" t="e">
        <f t="shared" si="5"/>
        <v>#REF!</v>
      </c>
      <c r="N14" s="191" t="e">
        <f t="shared" si="1"/>
        <v>#REF!</v>
      </c>
      <c r="O14" s="189" t="e">
        <f t="shared" si="2"/>
        <v>#REF!</v>
      </c>
      <c r="P14" s="191" t="e">
        <f t="shared" si="7"/>
        <v>#REF!</v>
      </c>
      <c r="Q14" s="191" t="e">
        <f t="shared" si="6"/>
        <v>#REF!</v>
      </c>
      <c r="R14" s="192" t="e">
        <f t="shared" si="8"/>
        <v>#REF!</v>
      </c>
      <c r="S14" s="191" t="e">
        <f t="shared" si="9"/>
        <v>#REF!</v>
      </c>
      <c r="T14" s="191" t="e">
        <f t="shared" si="10"/>
        <v>#REF!</v>
      </c>
    </row>
    <row r="15" spans="1:20" s="55" customFormat="1" ht="16.5" customHeight="1" x14ac:dyDescent="0.25">
      <c r="A15" s="68">
        <v>2</v>
      </c>
      <c r="B15" s="69" t="s">
        <v>20</v>
      </c>
      <c r="D15" s="198">
        <f>VLOOKUP(B15,'WF Need'!$B$7:$AB$64,27, FALSE)</f>
        <v>10356971.437174395</v>
      </c>
      <c r="E15" s="96">
        <f t="shared" si="3"/>
        <v>3.8655423383579719E-3</v>
      </c>
      <c r="F15" s="9" t="e">
        <f>#REF!</f>
        <v>#REF!</v>
      </c>
      <c r="H15" s="204" t="e">
        <f>IF(F15&lt;Floors!$E$4,Floors!$E$4, "-")</f>
        <v>#REF!</v>
      </c>
      <c r="I15" s="68" t="e">
        <f t="shared" si="4"/>
        <v>#REF!</v>
      </c>
      <c r="J15" s="201" t="e">
        <f>IF(I15="Y",VLOOKUP(B15,#REF!,2,FALSE)*1.1,"N/A ")</f>
        <v>#REF!</v>
      </c>
      <c r="K15" s="201" t="e">
        <f t="shared" si="0"/>
        <v>#REF!</v>
      </c>
      <c r="M15" s="201" t="e">
        <f t="shared" si="5"/>
        <v>#REF!</v>
      </c>
      <c r="N15" s="191" t="e">
        <f t="shared" si="1"/>
        <v>#REF!</v>
      </c>
      <c r="O15" s="189" t="e">
        <f t="shared" si="2"/>
        <v>#REF!</v>
      </c>
      <c r="P15" s="191" t="e">
        <f t="shared" si="7"/>
        <v>#REF!</v>
      </c>
      <c r="Q15" s="191" t="e">
        <f t="shared" si="6"/>
        <v>#REF!</v>
      </c>
      <c r="R15" s="192" t="e">
        <f t="shared" si="8"/>
        <v>#REF!</v>
      </c>
      <c r="S15" s="191" t="e">
        <f t="shared" si="9"/>
        <v>#REF!</v>
      </c>
      <c r="T15" s="191" t="e">
        <f t="shared" si="10"/>
        <v>#REF!</v>
      </c>
    </row>
    <row r="16" spans="1:20" s="55" customFormat="1" ht="16.5" customHeight="1" x14ac:dyDescent="0.25">
      <c r="A16" s="68">
        <v>3</v>
      </c>
      <c r="B16" s="69" t="s">
        <v>42</v>
      </c>
      <c r="D16" s="198">
        <f>VLOOKUP(B16,'WF Need'!$B$7:$AB$64,27, FALSE)</f>
        <v>70425779.864082158</v>
      </c>
      <c r="E16" s="96">
        <f t="shared" si="3"/>
        <v>2.6285081061376298E-2</v>
      </c>
      <c r="F16" s="9" t="e">
        <f>#REF!</f>
        <v>#REF!</v>
      </c>
      <c r="H16" s="204" t="e">
        <f>IF(F16&lt;Floors!$E$4,Floors!$E$4, "-")</f>
        <v>#REF!</v>
      </c>
      <c r="I16" s="68" t="e">
        <f t="shared" si="4"/>
        <v>#REF!</v>
      </c>
      <c r="J16" s="201" t="e">
        <f>IF(I16="Y",VLOOKUP(B16,#REF!,2,FALSE)*1.1,"N/A ")</f>
        <v>#REF!</v>
      </c>
      <c r="K16" s="201" t="e">
        <f t="shared" si="0"/>
        <v>#REF!</v>
      </c>
      <c r="M16" s="201" t="e">
        <f t="shared" si="5"/>
        <v>#REF!</v>
      </c>
      <c r="N16" s="191" t="e">
        <f t="shared" si="1"/>
        <v>#REF!</v>
      </c>
      <c r="O16" s="189" t="e">
        <f t="shared" si="2"/>
        <v>#REF!</v>
      </c>
      <c r="P16" s="191" t="e">
        <f t="shared" si="7"/>
        <v>#REF!</v>
      </c>
      <c r="Q16" s="191" t="e">
        <f t="shared" si="6"/>
        <v>#REF!</v>
      </c>
      <c r="R16" s="192" t="e">
        <f t="shared" si="8"/>
        <v>#REF!</v>
      </c>
      <c r="S16" s="191" t="e">
        <f t="shared" si="9"/>
        <v>#REF!</v>
      </c>
      <c r="T16" s="191" t="e">
        <f t="shared" si="10"/>
        <v>#REF!</v>
      </c>
    </row>
    <row r="17" spans="1:20" s="55" customFormat="1" ht="16.5" customHeight="1" x14ac:dyDescent="0.25">
      <c r="A17" s="68">
        <v>1</v>
      </c>
      <c r="B17" s="69" t="s">
        <v>9</v>
      </c>
      <c r="D17" s="198">
        <f>VLOOKUP(B17,'WF Need'!$B$7:$AB$64,27, FALSE)</f>
        <v>2913338.4829051802</v>
      </c>
      <c r="E17" s="96">
        <f t="shared" si="3"/>
        <v>1.0873481036373287E-3</v>
      </c>
      <c r="F17" s="9" t="e">
        <f>#REF!</f>
        <v>#REF!</v>
      </c>
      <c r="H17" s="204" t="e">
        <f>IF(F17&lt;Floors!$E$4,Floors!$E$4, "-")</f>
        <v>#REF!</v>
      </c>
      <c r="I17" s="68" t="e">
        <f t="shared" si="4"/>
        <v>#REF!</v>
      </c>
      <c r="J17" s="201" t="e">
        <f>IF(I17="Y",VLOOKUP(B17,#REF!,2,FALSE)*1.1,"N/A ")</f>
        <v>#REF!</v>
      </c>
      <c r="K17" s="201" t="e">
        <f t="shared" si="0"/>
        <v>#REF!</v>
      </c>
      <c r="M17" s="201" t="e">
        <f t="shared" si="5"/>
        <v>#REF!</v>
      </c>
      <c r="N17" s="191" t="e">
        <f t="shared" si="1"/>
        <v>#REF!</v>
      </c>
      <c r="O17" s="189" t="e">
        <f t="shared" si="2"/>
        <v>#REF!</v>
      </c>
      <c r="P17" s="191" t="e">
        <f t="shared" si="7"/>
        <v>#REF!</v>
      </c>
      <c r="Q17" s="191" t="e">
        <f t="shared" si="6"/>
        <v>#REF!</v>
      </c>
      <c r="R17" s="192" t="e">
        <f t="shared" si="8"/>
        <v>#REF!</v>
      </c>
      <c r="S17" s="191" t="e">
        <f t="shared" si="9"/>
        <v>#REF!</v>
      </c>
      <c r="T17" s="191" t="e">
        <f t="shared" si="10"/>
        <v>#REF!</v>
      </c>
    </row>
    <row r="18" spans="1:20" s="55" customFormat="1" ht="16.5" customHeight="1" x14ac:dyDescent="0.25">
      <c r="A18" s="68">
        <v>2</v>
      </c>
      <c r="B18" s="69" t="s">
        <v>21</v>
      </c>
      <c r="C18" s="87"/>
      <c r="D18" s="198">
        <f>VLOOKUP(B18,'WF Need'!$B$7:$AB$64,27, FALSE)</f>
        <v>9091693.603906231</v>
      </c>
      <c r="E18" s="96">
        <f t="shared" si="3"/>
        <v>3.3933014845569606E-3</v>
      </c>
      <c r="F18" s="9" t="e">
        <f>#REF!</f>
        <v>#REF!</v>
      </c>
      <c r="G18" s="87"/>
      <c r="H18" s="204" t="e">
        <f>IF(F18&lt;Floors!$E$4,Floors!$E$4, "-")</f>
        <v>#REF!</v>
      </c>
      <c r="I18" s="68" t="e">
        <f t="shared" si="4"/>
        <v>#REF!</v>
      </c>
      <c r="J18" s="201" t="e">
        <f>IF(I18="Y",VLOOKUP(B18,#REF!,2,FALSE)*1.1,"N/A ")</f>
        <v>#REF!</v>
      </c>
      <c r="K18" s="201" t="e">
        <f t="shared" si="0"/>
        <v>#REF!</v>
      </c>
      <c r="L18" s="87"/>
      <c r="M18" s="201" t="e">
        <f t="shared" si="5"/>
        <v>#REF!</v>
      </c>
      <c r="N18" s="191" t="e">
        <f t="shared" si="1"/>
        <v>#REF!</v>
      </c>
      <c r="O18" s="189" t="e">
        <f t="shared" si="2"/>
        <v>#REF!</v>
      </c>
      <c r="P18" s="191" t="e">
        <f t="shared" si="7"/>
        <v>#REF!</v>
      </c>
      <c r="Q18" s="191" t="e">
        <f t="shared" si="6"/>
        <v>#REF!</v>
      </c>
      <c r="R18" s="192" t="e">
        <f t="shared" si="8"/>
        <v>#REF!</v>
      </c>
      <c r="S18" s="191" t="e">
        <f t="shared" si="9"/>
        <v>#REF!</v>
      </c>
      <c r="T18" s="191" t="e">
        <f t="shared" si="10"/>
        <v>#REF!</v>
      </c>
    </row>
    <row r="19" spans="1:20" s="55" customFormat="1" ht="16.5" customHeight="1" x14ac:dyDescent="0.25">
      <c r="A19" s="68">
        <v>2</v>
      </c>
      <c r="B19" s="69" t="s">
        <v>22</v>
      </c>
      <c r="D19" s="198">
        <f>VLOOKUP(B19,'WF Need'!$B$7:$AB$64,27, FALSE)</f>
        <v>9180484.4156796876</v>
      </c>
      <c r="E19" s="96">
        <f t="shared" si="3"/>
        <v>3.4264409640128494E-3</v>
      </c>
      <c r="F19" s="9" t="e">
        <f>#REF!</f>
        <v>#REF!</v>
      </c>
      <c r="H19" s="204" t="e">
        <f>IF(F19&lt;Floors!$E$4,Floors!$E$4, "-")</f>
        <v>#REF!</v>
      </c>
      <c r="I19" s="68" t="e">
        <f t="shared" si="4"/>
        <v>#REF!</v>
      </c>
      <c r="J19" s="201" t="e">
        <f>IF(I19="Y",VLOOKUP(B19,#REF!,2,FALSE)*1.1,"N/A ")</f>
        <v>#REF!</v>
      </c>
      <c r="K19" s="201" t="e">
        <f t="shared" si="0"/>
        <v>#REF!</v>
      </c>
      <c r="M19" s="201" t="e">
        <f t="shared" si="5"/>
        <v>#REF!</v>
      </c>
      <c r="N19" s="191" t="e">
        <f t="shared" si="1"/>
        <v>#REF!</v>
      </c>
      <c r="O19" s="189" t="e">
        <f t="shared" si="2"/>
        <v>#REF!</v>
      </c>
      <c r="P19" s="191" t="e">
        <f t="shared" si="7"/>
        <v>#REF!</v>
      </c>
      <c r="Q19" s="191" t="e">
        <f t="shared" si="6"/>
        <v>#REF!</v>
      </c>
      <c r="R19" s="192" t="e">
        <f t="shared" si="8"/>
        <v>#REF!</v>
      </c>
      <c r="S19" s="191" t="e">
        <f t="shared" si="9"/>
        <v>#REF!</v>
      </c>
      <c r="T19" s="191" t="e">
        <f t="shared" si="10"/>
        <v>#REF!</v>
      </c>
    </row>
    <row r="20" spans="1:20" s="55" customFormat="1" ht="16.5" customHeight="1" x14ac:dyDescent="0.25">
      <c r="A20" s="68">
        <v>1</v>
      </c>
      <c r="B20" s="69" t="s">
        <v>10</v>
      </c>
      <c r="D20" s="198">
        <f>VLOOKUP(B20,'WF Need'!$B$7:$AB$64,27, FALSE)</f>
        <v>2257442.6887925877</v>
      </c>
      <c r="E20" s="96">
        <f t="shared" si="3"/>
        <v>8.4254749014979556E-4</v>
      </c>
      <c r="F20" s="9" t="e">
        <f>#REF!</f>
        <v>#REF!</v>
      </c>
      <c r="H20" s="204" t="e">
        <f>IF(F20&lt;Floors!$E$4,Floors!$E$4, "-")</f>
        <v>#REF!</v>
      </c>
      <c r="I20" s="68" t="e">
        <f t="shared" si="4"/>
        <v>#REF!</v>
      </c>
      <c r="J20" s="201" t="e">
        <f>IF(I20="Y",VLOOKUP(B20,#REF!,2,FALSE)*1.1,"N/A ")</f>
        <v>#REF!</v>
      </c>
      <c r="K20" s="201" t="e">
        <f t="shared" si="0"/>
        <v>#REF!</v>
      </c>
      <c r="M20" s="201" t="e">
        <f t="shared" si="5"/>
        <v>#REF!</v>
      </c>
      <c r="N20" s="191" t="e">
        <f t="shared" si="1"/>
        <v>#REF!</v>
      </c>
      <c r="O20" s="189" t="e">
        <f t="shared" si="2"/>
        <v>#REF!</v>
      </c>
      <c r="P20" s="191" t="e">
        <f t="shared" si="7"/>
        <v>#REF!</v>
      </c>
      <c r="Q20" s="191" t="e">
        <f t="shared" si="6"/>
        <v>#REF!</v>
      </c>
      <c r="R20" s="192" t="e">
        <f t="shared" si="8"/>
        <v>#REF!</v>
      </c>
      <c r="S20" s="191" t="e">
        <f t="shared" si="9"/>
        <v>#REF!</v>
      </c>
      <c r="T20" s="191" t="e">
        <f t="shared" si="10"/>
        <v>#REF!</v>
      </c>
    </row>
    <row r="21" spans="1:20" s="55" customFormat="1" ht="16.5" customHeight="1" x14ac:dyDescent="0.25">
      <c r="A21" s="68">
        <v>3</v>
      </c>
      <c r="B21" s="69" t="s">
        <v>43</v>
      </c>
      <c r="D21" s="198">
        <f>VLOOKUP(B21,'WF Need'!$B$7:$AB$64,27, FALSE)</f>
        <v>71289380.321013987</v>
      </c>
      <c r="E21" s="96">
        <f t="shared" si="3"/>
        <v>2.6607403484484766E-2</v>
      </c>
      <c r="F21" s="9" t="e">
        <f>#REF!</f>
        <v>#REF!</v>
      </c>
      <c r="H21" s="204" t="e">
        <f>IF(F21&lt;Floors!$E$4,Floors!$E$4, "-")</f>
        <v>#REF!</v>
      </c>
      <c r="I21" s="68" t="e">
        <f t="shared" si="4"/>
        <v>#REF!</v>
      </c>
      <c r="J21" s="201" t="e">
        <f>IF(I21="Y",VLOOKUP(B21,#REF!,2,FALSE)*1.1,"N/A ")</f>
        <v>#REF!</v>
      </c>
      <c r="K21" s="201" t="e">
        <f t="shared" si="0"/>
        <v>#REF!</v>
      </c>
      <c r="M21" s="201" t="e">
        <f t="shared" si="5"/>
        <v>#REF!</v>
      </c>
      <c r="N21" s="191" t="e">
        <f t="shared" si="1"/>
        <v>#REF!</v>
      </c>
      <c r="O21" s="189" t="e">
        <f t="shared" si="2"/>
        <v>#REF!</v>
      </c>
      <c r="P21" s="191" t="e">
        <f t="shared" si="7"/>
        <v>#REF!</v>
      </c>
      <c r="Q21" s="191" t="e">
        <f t="shared" si="6"/>
        <v>#REF!</v>
      </c>
      <c r="R21" s="192" t="e">
        <f t="shared" si="8"/>
        <v>#REF!</v>
      </c>
      <c r="S21" s="191" t="e">
        <f t="shared" si="9"/>
        <v>#REF!</v>
      </c>
      <c r="T21" s="191" t="e">
        <f t="shared" si="10"/>
        <v>#REF!</v>
      </c>
    </row>
    <row r="22" spans="1:20" s="55" customFormat="1" ht="16.5" customHeight="1" x14ac:dyDescent="0.25">
      <c r="A22" s="68">
        <v>2</v>
      </c>
      <c r="B22" s="69" t="s">
        <v>23</v>
      </c>
      <c r="D22" s="198">
        <f>VLOOKUP(B22,'WF Need'!$B$7:$AB$64,27, FALSE)</f>
        <v>11792062.430566631</v>
      </c>
      <c r="E22" s="96">
        <f t="shared" si="3"/>
        <v>4.4011627200501073E-3</v>
      </c>
      <c r="F22" s="9" t="e">
        <f>#REF!</f>
        <v>#REF!</v>
      </c>
      <c r="H22" s="204" t="e">
        <f>IF(F22&lt;Floors!$E$4,Floors!$E$4, "-")</f>
        <v>#REF!</v>
      </c>
      <c r="I22" s="68" t="e">
        <f t="shared" si="4"/>
        <v>#REF!</v>
      </c>
      <c r="J22" s="201" t="e">
        <f>IF(I22="Y",VLOOKUP(B22,#REF!,2,FALSE)*1.1,"N/A ")</f>
        <v>#REF!</v>
      </c>
      <c r="K22" s="201" t="e">
        <f t="shared" si="0"/>
        <v>#REF!</v>
      </c>
      <c r="M22" s="201" t="e">
        <f t="shared" si="5"/>
        <v>#REF!</v>
      </c>
      <c r="N22" s="191" t="e">
        <f t="shared" si="1"/>
        <v>#REF!</v>
      </c>
      <c r="O22" s="189" t="e">
        <f t="shared" si="2"/>
        <v>#REF!</v>
      </c>
      <c r="P22" s="191" t="e">
        <f t="shared" si="7"/>
        <v>#REF!</v>
      </c>
      <c r="Q22" s="191" t="e">
        <f t="shared" si="6"/>
        <v>#REF!</v>
      </c>
      <c r="R22" s="192" t="e">
        <f t="shared" si="8"/>
        <v>#REF!</v>
      </c>
      <c r="S22" s="191" t="e">
        <f t="shared" si="9"/>
        <v>#REF!</v>
      </c>
      <c r="T22" s="191" t="e">
        <f t="shared" si="10"/>
        <v>#REF!</v>
      </c>
    </row>
    <row r="23" spans="1:20" s="55" customFormat="1" ht="16.5" customHeight="1" x14ac:dyDescent="0.25">
      <c r="A23" s="68">
        <v>2</v>
      </c>
      <c r="B23" s="69" t="s">
        <v>24</v>
      </c>
      <c r="D23" s="198">
        <f>VLOOKUP(B23,'WF Need'!$B$7:$AB$64,27, FALSE)</f>
        <v>5466319.272101081</v>
      </c>
      <c r="E23" s="96">
        <f t="shared" si="3"/>
        <v>2.0401995611811457E-3</v>
      </c>
      <c r="F23" s="9" t="e">
        <f>#REF!</f>
        <v>#REF!</v>
      </c>
      <c r="H23" s="204" t="e">
        <f>IF(F23&lt;Floors!$E$4,Floors!$E$4, "-")</f>
        <v>#REF!</v>
      </c>
      <c r="I23" s="68" t="e">
        <f t="shared" si="4"/>
        <v>#REF!</v>
      </c>
      <c r="J23" s="201" t="e">
        <f>IF(I23="Y",VLOOKUP(B23,#REF!,2,FALSE)*1.1,"N/A ")</f>
        <v>#REF!</v>
      </c>
      <c r="K23" s="201" t="e">
        <f t="shared" si="0"/>
        <v>#REF!</v>
      </c>
      <c r="M23" s="201" t="e">
        <f t="shared" si="5"/>
        <v>#REF!</v>
      </c>
      <c r="N23" s="191" t="e">
        <f t="shared" si="1"/>
        <v>#REF!</v>
      </c>
      <c r="O23" s="189" t="e">
        <f t="shared" si="2"/>
        <v>#REF!</v>
      </c>
      <c r="P23" s="191" t="e">
        <f t="shared" si="7"/>
        <v>#REF!</v>
      </c>
      <c r="Q23" s="191" t="e">
        <f t="shared" si="6"/>
        <v>#REF!</v>
      </c>
      <c r="R23" s="192" t="e">
        <f t="shared" si="8"/>
        <v>#REF!</v>
      </c>
      <c r="S23" s="191" t="e">
        <f t="shared" si="9"/>
        <v>#REF!</v>
      </c>
      <c r="T23" s="191" t="e">
        <f t="shared" si="10"/>
        <v>#REF!</v>
      </c>
    </row>
    <row r="24" spans="1:20" s="55" customFormat="1" ht="16.5" customHeight="1" x14ac:dyDescent="0.25">
      <c r="A24" s="68">
        <v>1</v>
      </c>
      <c r="B24" s="69" t="s">
        <v>11</v>
      </c>
      <c r="D24" s="198">
        <f>VLOOKUP(B24,'WF Need'!$B$7:$AB$64,27, FALSE)</f>
        <v>2332455.4969586707</v>
      </c>
      <c r="E24" s="96">
        <f t="shared" si="3"/>
        <v>8.7054459216403331E-4</v>
      </c>
      <c r="F24" s="9" t="e">
        <f>#REF!</f>
        <v>#REF!</v>
      </c>
      <c r="H24" s="204" t="e">
        <f>IF(F24&lt;Floors!$E$4,Floors!$E$4, "-")</f>
        <v>#REF!</v>
      </c>
      <c r="I24" s="68" t="e">
        <f t="shared" si="4"/>
        <v>#REF!</v>
      </c>
      <c r="J24" s="201" t="e">
        <f>IF(I24="Y",VLOOKUP(B24,#REF!,2,FALSE)*1.1,"N/A ")</f>
        <v>#REF!</v>
      </c>
      <c r="K24" s="201" t="e">
        <f t="shared" si="0"/>
        <v>#REF!</v>
      </c>
      <c r="M24" s="202" t="e">
        <f t="shared" si="5"/>
        <v>#REF!</v>
      </c>
      <c r="N24" s="191" t="e">
        <f t="shared" si="1"/>
        <v>#REF!</v>
      </c>
      <c r="O24" s="193" t="e">
        <f t="shared" si="2"/>
        <v>#REF!</v>
      </c>
      <c r="P24" s="191" t="e">
        <f t="shared" si="7"/>
        <v>#REF!</v>
      </c>
      <c r="Q24" s="191" t="e">
        <f t="shared" si="6"/>
        <v>#REF!</v>
      </c>
      <c r="R24" s="192" t="e">
        <f t="shared" si="8"/>
        <v>#REF!</v>
      </c>
      <c r="S24" s="191" t="e">
        <f t="shared" si="9"/>
        <v>#REF!</v>
      </c>
      <c r="T24" s="191" t="e">
        <f t="shared" si="10"/>
        <v>#REF!</v>
      </c>
    </row>
    <row r="25" spans="1:20" s="55" customFormat="1" ht="16.5" customHeight="1" x14ac:dyDescent="0.25">
      <c r="A25" s="68">
        <v>4</v>
      </c>
      <c r="B25" s="69" t="s">
        <v>54</v>
      </c>
      <c r="D25" s="198">
        <f>VLOOKUP(B25,'WF Need'!$B$7:$AB$64,27, FALSE)</f>
        <v>797638572.47001946</v>
      </c>
      <c r="E25" s="96">
        <f t="shared" si="3"/>
        <v>0.29770340599022316</v>
      </c>
      <c r="F25" s="9" t="e">
        <f>#REF!</f>
        <v>#REF!</v>
      </c>
      <c r="H25" s="204" t="e">
        <f>IF(F25&lt;Floors!$E$4,Floors!$E$4, "-")</f>
        <v>#REF!</v>
      </c>
      <c r="I25" s="68" t="e">
        <f t="shared" si="4"/>
        <v>#REF!</v>
      </c>
      <c r="J25" s="201" t="e">
        <f>IF(I25="Y",VLOOKUP(B25,#REF!,2,FALSE)*1.1,"N/A ")</f>
        <v>#REF!</v>
      </c>
      <c r="K25" s="201" t="e">
        <f t="shared" si="0"/>
        <v>#REF!</v>
      </c>
      <c r="M25" s="201" t="e">
        <f t="shared" si="5"/>
        <v>#REF!</v>
      </c>
      <c r="N25" s="191" t="e">
        <f t="shared" si="1"/>
        <v>#REF!</v>
      </c>
      <c r="O25" s="189" t="e">
        <f t="shared" si="2"/>
        <v>#REF!</v>
      </c>
      <c r="P25" s="191" t="e">
        <f t="shared" si="7"/>
        <v>#REF!</v>
      </c>
      <c r="Q25" s="191" t="e">
        <f t="shared" si="6"/>
        <v>#REF!</v>
      </c>
      <c r="R25" s="192" t="e">
        <f t="shared" si="8"/>
        <v>#REF!</v>
      </c>
      <c r="S25" s="191" t="e">
        <f t="shared" si="9"/>
        <v>#REF!</v>
      </c>
      <c r="T25" s="191" t="e">
        <f t="shared" si="10"/>
        <v>#REF!</v>
      </c>
    </row>
    <row r="26" spans="1:20" s="55" customFormat="1" ht="16.5" customHeight="1" x14ac:dyDescent="0.25">
      <c r="A26" s="68">
        <v>2</v>
      </c>
      <c r="B26" s="69" t="s">
        <v>25</v>
      </c>
      <c r="D26" s="198">
        <f>VLOOKUP(B26,'WF Need'!$B$7:$AB$64,27, FALSE)</f>
        <v>13235588.020255908</v>
      </c>
      <c r="E26" s="96">
        <f t="shared" si="3"/>
        <v>4.9399311541715599E-3</v>
      </c>
      <c r="F26" s="9" t="e">
        <f>#REF!</f>
        <v>#REF!</v>
      </c>
      <c r="H26" s="204" t="e">
        <f>IF(F26&lt;Floors!$E$4,Floors!$E$4, "-")</f>
        <v>#REF!</v>
      </c>
      <c r="I26" s="68" t="e">
        <f t="shared" si="4"/>
        <v>#REF!</v>
      </c>
      <c r="J26" s="201" t="e">
        <f>IF(I26="Y",VLOOKUP(B26,#REF!,2,FALSE)*1.1,"N/A ")</f>
        <v>#REF!</v>
      </c>
      <c r="K26" s="201" t="e">
        <f t="shared" si="0"/>
        <v>#REF!</v>
      </c>
      <c r="M26" s="201" t="e">
        <f t="shared" si="5"/>
        <v>#REF!</v>
      </c>
      <c r="N26" s="191" t="e">
        <f t="shared" si="1"/>
        <v>#REF!</v>
      </c>
      <c r="O26" s="189" t="e">
        <f t="shared" si="2"/>
        <v>#REF!</v>
      </c>
      <c r="P26" s="191" t="e">
        <f t="shared" si="7"/>
        <v>#REF!</v>
      </c>
      <c r="Q26" s="191" t="e">
        <f t="shared" si="6"/>
        <v>#REF!</v>
      </c>
      <c r="R26" s="192" t="e">
        <f t="shared" si="8"/>
        <v>#REF!</v>
      </c>
      <c r="S26" s="191" t="e">
        <f t="shared" si="9"/>
        <v>#REF!</v>
      </c>
      <c r="T26" s="191" t="e">
        <f t="shared" si="10"/>
        <v>#REF!</v>
      </c>
    </row>
    <row r="27" spans="1:20" s="55" customFormat="1" ht="16.5" customHeight="1" x14ac:dyDescent="0.25">
      <c r="A27" s="68">
        <v>2</v>
      </c>
      <c r="B27" s="69" t="s">
        <v>26</v>
      </c>
      <c r="D27" s="198">
        <f>VLOOKUP(B27,'WF Need'!$B$7:$AB$64,27, FALSE)</f>
        <v>15087150.211298048</v>
      </c>
      <c r="E27" s="96">
        <f t="shared" si="3"/>
        <v>5.6309914786102748E-3</v>
      </c>
      <c r="F27" s="9" t="e">
        <f>#REF!</f>
        <v>#REF!</v>
      </c>
      <c r="H27" s="204" t="e">
        <f>IF(F27&lt;Floors!$E$4,Floors!$E$4, "-")</f>
        <v>#REF!</v>
      </c>
      <c r="I27" s="68" t="e">
        <f t="shared" si="4"/>
        <v>#REF!</v>
      </c>
      <c r="J27" s="201" t="e">
        <f>IF(I27="Y",VLOOKUP(B27,#REF!,2,FALSE)*1.1,"N/A ")</f>
        <v>#REF!</v>
      </c>
      <c r="K27" s="201" t="e">
        <f t="shared" si="0"/>
        <v>#REF!</v>
      </c>
      <c r="M27" s="201" t="e">
        <f t="shared" si="5"/>
        <v>#REF!</v>
      </c>
      <c r="N27" s="191" t="e">
        <f t="shared" si="1"/>
        <v>#REF!</v>
      </c>
      <c r="O27" s="189" t="e">
        <f t="shared" si="2"/>
        <v>#REF!</v>
      </c>
      <c r="P27" s="191" t="e">
        <f t="shared" si="7"/>
        <v>#REF!</v>
      </c>
      <c r="Q27" s="191" t="e">
        <f t="shared" si="6"/>
        <v>#REF!</v>
      </c>
      <c r="R27" s="192" t="e">
        <f t="shared" si="8"/>
        <v>#REF!</v>
      </c>
      <c r="S27" s="191" t="e">
        <f t="shared" si="9"/>
        <v>#REF!</v>
      </c>
      <c r="T27" s="191" t="e">
        <f t="shared" si="10"/>
        <v>#REF!</v>
      </c>
    </row>
    <row r="28" spans="1:20" s="55" customFormat="1" ht="16.5" customHeight="1" x14ac:dyDescent="0.25">
      <c r="A28" s="68">
        <v>1</v>
      </c>
      <c r="B28" s="69" t="s">
        <v>12</v>
      </c>
      <c r="D28" s="198">
        <f>VLOOKUP(B28,'WF Need'!$B$7:$AB$64,27, FALSE)</f>
        <v>1809936.6643506989</v>
      </c>
      <c r="E28" s="96">
        <f t="shared" si="3"/>
        <v>6.7552438936751516E-4</v>
      </c>
      <c r="F28" s="9" t="e">
        <f>#REF!</f>
        <v>#REF!</v>
      </c>
      <c r="H28" s="204" t="e">
        <f>IF(F28&lt;Floors!$E$4,Floors!$E$4, "-")</f>
        <v>#REF!</v>
      </c>
      <c r="I28" s="68" t="e">
        <f t="shared" si="4"/>
        <v>#REF!</v>
      </c>
      <c r="J28" s="201" t="e">
        <f>IF(I28="Y",VLOOKUP(B28,#REF!,2,FALSE)*1.1,"N/A ")</f>
        <v>#REF!</v>
      </c>
      <c r="K28" s="201" t="e">
        <f t="shared" si="0"/>
        <v>#REF!</v>
      </c>
      <c r="M28" s="202" t="e">
        <f t="shared" si="5"/>
        <v>#REF!</v>
      </c>
      <c r="N28" s="191" t="e">
        <f t="shared" si="1"/>
        <v>#REF!</v>
      </c>
      <c r="O28" s="191" t="e">
        <f t="shared" si="2"/>
        <v>#REF!</v>
      </c>
      <c r="P28" s="191" t="e">
        <f>IF(M28="n/a",(IF(AND(H28=750000,(F28&gt;750000)), H28-F28, 0)),M28-F28)</f>
        <v>#REF!</v>
      </c>
      <c r="Q28" s="191" t="e">
        <f t="shared" si="6"/>
        <v>#REF!</v>
      </c>
      <c r="R28" s="192" t="e">
        <f t="shared" si="8"/>
        <v>#REF!</v>
      </c>
      <c r="S28" s="191" t="e">
        <f t="shared" si="9"/>
        <v>#REF!</v>
      </c>
      <c r="T28" s="191" t="e">
        <f t="shared" si="10"/>
        <v>#REF!</v>
      </c>
    </row>
    <row r="29" spans="1:20" s="55" customFormat="1" ht="16.5" customHeight="1" x14ac:dyDescent="0.25">
      <c r="A29" s="68">
        <v>2</v>
      </c>
      <c r="B29" s="69" t="s">
        <v>27</v>
      </c>
      <c r="D29" s="198">
        <f>VLOOKUP(B29,'WF Need'!$B$7:$AB$64,27, FALSE)</f>
        <v>7651216.971375457</v>
      </c>
      <c r="E29" s="96">
        <f t="shared" si="3"/>
        <v>2.8556710156269279E-3</v>
      </c>
      <c r="F29" s="9" t="e">
        <f>#REF!</f>
        <v>#REF!</v>
      </c>
      <c r="H29" s="204" t="e">
        <f>IF(F29&lt;Floors!$E$4,Floors!$E$4, "-")</f>
        <v>#REF!</v>
      </c>
      <c r="I29" s="68" t="e">
        <f t="shared" si="4"/>
        <v>#REF!</v>
      </c>
      <c r="J29" s="201" t="e">
        <f>IF(I29="Y",VLOOKUP(B29,#REF!,2,FALSE)*1.1,"N/A ")</f>
        <v>#REF!</v>
      </c>
      <c r="K29" s="201" t="e">
        <f t="shared" si="0"/>
        <v>#REF!</v>
      </c>
      <c r="M29" s="201" t="e">
        <f t="shared" si="5"/>
        <v>#REF!</v>
      </c>
      <c r="N29" s="191" t="e">
        <f t="shared" si="1"/>
        <v>#REF!</v>
      </c>
      <c r="O29" s="189" t="e">
        <f t="shared" si="2"/>
        <v>#REF!</v>
      </c>
      <c r="P29" s="191" t="e">
        <f>IF(M29="n/a",(IF(AND(H29=750000,(F29&gt;750000)), H29-F29, 0)),M29-F29)</f>
        <v>#REF!</v>
      </c>
      <c r="Q29" s="191" t="e">
        <f t="shared" si="6"/>
        <v>#REF!</v>
      </c>
      <c r="R29" s="192" t="e">
        <f t="shared" si="8"/>
        <v>#REF!</v>
      </c>
      <c r="S29" s="191" t="e">
        <f t="shared" si="9"/>
        <v>#REF!</v>
      </c>
      <c r="T29" s="191" t="e">
        <f t="shared" si="10"/>
        <v>#REF!</v>
      </c>
    </row>
    <row r="30" spans="1:20" s="55" customFormat="1" ht="16.5" customHeight="1" x14ac:dyDescent="0.25">
      <c r="A30" s="68">
        <v>2</v>
      </c>
      <c r="B30" s="69" t="s">
        <v>28</v>
      </c>
      <c r="D30" s="198">
        <f>VLOOKUP(B30,'WF Need'!$B$7:$AB$64,27, FALSE)</f>
        <v>18252185.792749632</v>
      </c>
      <c r="E30" s="96">
        <f t="shared" si="3"/>
        <v>6.8122807306590762E-3</v>
      </c>
      <c r="F30" s="9" t="e">
        <f>#REF!</f>
        <v>#REF!</v>
      </c>
      <c r="H30" s="204" t="e">
        <f>IF(F30&lt;Floors!$E$4,Floors!$E$4, "-")</f>
        <v>#REF!</v>
      </c>
      <c r="I30" s="68" t="e">
        <f t="shared" si="4"/>
        <v>#REF!</v>
      </c>
      <c r="J30" s="201" t="e">
        <f>IF(I30="Y",VLOOKUP(B30,#REF!,2,FALSE)*1.1,"N/A ")</f>
        <v>#REF!</v>
      </c>
      <c r="K30" s="201" t="e">
        <f t="shared" si="0"/>
        <v>#REF!</v>
      </c>
      <c r="M30" s="201" t="e">
        <f t="shared" si="5"/>
        <v>#REF!</v>
      </c>
      <c r="N30" s="191" t="e">
        <f t="shared" si="1"/>
        <v>#REF!</v>
      </c>
      <c r="O30" s="189" t="e">
        <f t="shared" si="2"/>
        <v>#REF!</v>
      </c>
      <c r="P30" s="191" t="e">
        <f t="shared" ref="P30:P41" si="11">IF(M30="n/a",(IF(AND(H30=750000,(F30&gt;750000)), H30-F30, 0)),M30-F30)</f>
        <v>#REF!</v>
      </c>
      <c r="Q30" s="191" t="e">
        <f t="shared" si="6"/>
        <v>#REF!</v>
      </c>
      <c r="R30" s="192" t="e">
        <f t="shared" si="8"/>
        <v>#REF!</v>
      </c>
      <c r="S30" s="191" t="e">
        <f t="shared" si="9"/>
        <v>#REF!</v>
      </c>
      <c r="T30" s="191" t="e">
        <f t="shared" si="10"/>
        <v>#REF!</v>
      </c>
    </row>
    <row r="31" spans="1:20" s="55" customFormat="1" ht="16.5" customHeight="1" x14ac:dyDescent="0.25">
      <c r="A31" s="68">
        <v>1</v>
      </c>
      <c r="B31" s="69" t="s">
        <v>13</v>
      </c>
      <c r="D31" s="198">
        <f>VLOOKUP(B31,'WF Need'!$B$7:$AB$64,27, FALSE)</f>
        <v>1284286.5122001646</v>
      </c>
      <c r="E31" s="96">
        <f t="shared" si="3"/>
        <v>4.7933548118833484E-4</v>
      </c>
      <c r="F31" s="9" t="e">
        <f>#REF!</f>
        <v>#REF!</v>
      </c>
      <c r="H31" s="204" t="e">
        <f>IF(F31&lt;Floors!$E$4,Floors!$E$4, "-")</f>
        <v>#REF!</v>
      </c>
      <c r="I31" s="68" t="e">
        <f t="shared" si="4"/>
        <v>#REF!</v>
      </c>
      <c r="J31" s="201" t="e">
        <f>IF(I31="Y",VLOOKUP(B31,#REF!,2,FALSE)*1.1,"N/A ")</f>
        <v>#REF!</v>
      </c>
      <c r="K31" s="201" t="e">
        <f t="shared" si="0"/>
        <v>#REF!</v>
      </c>
      <c r="M31" s="201" t="e">
        <f t="shared" si="5"/>
        <v>#REF!</v>
      </c>
      <c r="N31" s="191" t="e">
        <f t="shared" si="1"/>
        <v>#REF!</v>
      </c>
      <c r="O31" s="191" t="e">
        <f t="shared" si="2"/>
        <v>#REF!</v>
      </c>
      <c r="P31" s="191" t="e">
        <f t="shared" si="11"/>
        <v>#REF!</v>
      </c>
      <c r="Q31" s="191" t="e">
        <f t="shared" si="6"/>
        <v>#REF!</v>
      </c>
      <c r="R31" s="192" t="e">
        <f t="shared" si="8"/>
        <v>#REF!</v>
      </c>
      <c r="S31" s="191" t="e">
        <f t="shared" si="9"/>
        <v>#REF!</v>
      </c>
      <c r="T31" s="191" t="e">
        <f t="shared" si="10"/>
        <v>#REF!</v>
      </c>
    </row>
    <row r="32" spans="1:20" s="55" customFormat="1" ht="16.5" customHeight="1" x14ac:dyDescent="0.25">
      <c r="A32" s="68">
        <v>1</v>
      </c>
      <c r="B32" s="69" t="s">
        <v>14</v>
      </c>
      <c r="D32" s="198">
        <f>VLOOKUP(B32,'WF Need'!$B$7:$AB$64,27, FALSE)</f>
        <v>2037226.0035849311</v>
      </c>
      <c r="E32" s="96">
        <f t="shared" si="3"/>
        <v>7.6035580646631831E-4</v>
      </c>
      <c r="F32" s="9" t="e">
        <f>#REF!</f>
        <v>#REF!</v>
      </c>
      <c r="H32" s="204" t="e">
        <f>IF(F32&lt;Floors!$E$4,Floors!$E$4, "-")</f>
        <v>#REF!</v>
      </c>
      <c r="I32" s="68" t="e">
        <f t="shared" si="4"/>
        <v>#REF!</v>
      </c>
      <c r="J32" s="201" t="e">
        <f>IF(I32="Y",VLOOKUP(B32,#REF!,2,FALSE)*1.1,"N/A ")</f>
        <v>#REF!</v>
      </c>
      <c r="K32" s="201" t="e">
        <f t="shared" si="0"/>
        <v>#REF!</v>
      </c>
      <c r="M32" s="202" t="e">
        <f t="shared" si="5"/>
        <v>#REF!</v>
      </c>
      <c r="N32" s="191" t="e">
        <f t="shared" si="1"/>
        <v>#REF!</v>
      </c>
      <c r="O32" s="191" t="e">
        <f t="shared" si="2"/>
        <v>#REF!</v>
      </c>
      <c r="P32" s="191" t="e">
        <f t="shared" si="11"/>
        <v>#REF!</v>
      </c>
      <c r="Q32" s="191" t="e">
        <f t="shared" si="6"/>
        <v>#REF!</v>
      </c>
      <c r="R32" s="192" t="e">
        <f t="shared" si="8"/>
        <v>#REF!</v>
      </c>
      <c r="S32" s="191" t="e">
        <f t="shared" si="9"/>
        <v>#REF!</v>
      </c>
      <c r="T32" s="191" t="e">
        <f t="shared" si="10"/>
        <v>#REF!</v>
      </c>
    </row>
    <row r="33" spans="1:20" s="55" customFormat="1" ht="16.5" customHeight="1" x14ac:dyDescent="0.25">
      <c r="A33" s="68">
        <v>3</v>
      </c>
      <c r="B33" s="69" t="s">
        <v>44</v>
      </c>
      <c r="D33" s="198">
        <f>VLOOKUP(B33,'WF Need'!$B$7:$AB$64,27, FALSE)</f>
        <v>27843901.388213594</v>
      </c>
      <c r="E33" s="96">
        <f t="shared" si="3"/>
        <v>1.0392205900547334E-2</v>
      </c>
      <c r="F33" s="9" t="e">
        <f>#REF!</f>
        <v>#REF!</v>
      </c>
      <c r="H33" s="204" t="e">
        <f>IF(F33&lt;Floors!$E$4,Floors!$E$4, "-")</f>
        <v>#REF!</v>
      </c>
      <c r="I33" s="68" t="e">
        <f t="shared" si="4"/>
        <v>#REF!</v>
      </c>
      <c r="J33" s="201" t="e">
        <f>IF(I33="Y",VLOOKUP(B33,#REF!,2,FALSE)*1.1,"N/A ")</f>
        <v>#REF!</v>
      </c>
      <c r="K33" s="201" t="e">
        <f t="shared" si="0"/>
        <v>#REF!</v>
      </c>
      <c r="M33" s="201" t="e">
        <f t="shared" si="5"/>
        <v>#REF!</v>
      </c>
      <c r="N33" s="191" t="e">
        <f t="shared" si="1"/>
        <v>#REF!</v>
      </c>
      <c r="O33" s="189" t="e">
        <f t="shared" si="2"/>
        <v>#REF!</v>
      </c>
      <c r="P33" s="191" t="e">
        <f t="shared" si="11"/>
        <v>#REF!</v>
      </c>
      <c r="Q33" s="191" t="e">
        <f t="shared" si="6"/>
        <v>#REF!</v>
      </c>
      <c r="R33" s="192" t="e">
        <f t="shared" si="8"/>
        <v>#REF!</v>
      </c>
      <c r="S33" s="191" t="e">
        <f t="shared" si="9"/>
        <v>#REF!</v>
      </c>
      <c r="T33" s="191" t="e">
        <f t="shared" si="10"/>
        <v>#REF!</v>
      </c>
    </row>
    <row r="34" spans="1:20" s="55" customFormat="1" ht="16.5" customHeight="1" x14ac:dyDescent="0.25">
      <c r="A34" s="68">
        <v>2</v>
      </c>
      <c r="B34" s="69" t="s">
        <v>29</v>
      </c>
      <c r="D34" s="198">
        <f>VLOOKUP(B34,'WF Need'!$B$7:$AB$64,27, FALSE)</f>
        <v>9979949.5141789895</v>
      </c>
      <c r="E34" s="96">
        <f t="shared" si="3"/>
        <v>3.7248260860569533E-3</v>
      </c>
      <c r="F34" s="9" t="e">
        <f>#REF!</f>
        <v>#REF!</v>
      </c>
      <c r="H34" s="204" t="e">
        <f>IF(F34&lt;Floors!$E$4,Floors!$E$4, "-")</f>
        <v>#REF!</v>
      </c>
      <c r="I34" s="68" t="e">
        <f t="shared" si="4"/>
        <v>#REF!</v>
      </c>
      <c r="J34" s="201" t="e">
        <f>IF(I34="Y",VLOOKUP(B34,#REF!,2,FALSE)*1.1,"N/A ")</f>
        <v>#REF!</v>
      </c>
      <c r="K34" s="201" t="e">
        <f t="shared" si="0"/>
        <v>#REF!</v>
      </c>
      <c r="M34" s="201" t="e">
        <f t="shared" si="5"/>
        <v>#REF!</v>
      </c>
      <c r="N34" s="191" t="e">
        <f t="shared" si="1"/>
        <v>#REF!</v>
      </c>
      <c r="O34" s="189" t="e">
        <f t="shared" si="2"/>
        <v>#REF!</v>
      </c>
      <c r="P34" s="191" t="e">
        <f t="shared" si="11"/>
        <v>#REF!</v>
      </c>
      <c r="Q34" s="191" t="e">
        <f t="shared" si="6"/>
        <v>#REF!</v>
      </c>
      <c r="R34" s="192" t="e">
        <f t="shared" si="8"/>
        <v>#REF!</v>
      </c>
      <c r="S34" s="191" t="e">
        <f t="shared" si="9"/>
        <v>#REF!</v>
      </c>
      <c r="T34" s="191" t="e">
        <f t="shared" si="10"/>
        <v>#REF!</v>
      </c>
    </row>
    <row r="35" spans="1:20" s="55" customFormat="1" ht="16.5" customHeight="1" x14ac:dyDescent="0.25">
      <c r="A35" s="68">
        <v>2</v>
      </c>
      <c r="B35" s="69" t="s">
        <v>30</v>
      </c>
      <c r="D35" s="198">
        <f>VLOOKUP(B35,'WF Need'!$B$7:$AB$64,27, FALSE)</f>
        <v>7206655.42112788</v>
      </c>
      <c r="E35" s="96">
        <f t="shared" si="3"/>
        <v>2.6897468837595814E-3</v>
      </c>
      <c r="F35" s="9" t="e">
        <f>#REF!</f>
        <v>#REF!</v>
      </c>
      <c r="H35" s="204" t="e">
        <f>IF(F35&lt;Floors!$E$4,Floors!$E$4, "-")</f>
        <v>#REF!</v>
      </c>
      <c r="I35" s="68" t="e">
        <f t="shared" si="4"/>
        <v>#REF!</v>
      </c>
      <c r="J35" s="201" t="e">
        <f>IF(I35="Y",VLOOKUP(B35,#REF!,2,FALSE)*1.1,"N/A ")</f>
        <v>#REF!</v>
      </c>
      <c r="K35" s="201" t="e">
        <f t="shared" si="0"/>
        <v>#REF!</v>
      </c>
      <c r="M35" s="201" t="e">
        <f t="shared" si="5"/>
        <v>#REF!</v>
      </c>
      <c r="N35" s="191" t="e">
        <f t="shared" si="1"/>
        <v>#REF!</v>
      </c>
      <c r="O35" s="189" t="e">
        <f t="shared" si="2"/>
        <v>#REF!</v>
      </c>
      <c r="P35" s="191" t="e">
        <f t="shared" si="11"/>
        <v>#REF!</v>
      </c>
      <c r="Q35" s="191" t="e">
        <f t="shared" si="6"/>
        <v>#REF!</v>
      </c>
      <c r="R35" s="192" t="e">
        <f t="shared" si="8"/>
        <v>#REF!</v>
      </c>
      <c r="S35" s="191" t="e">
        <f t="shared" si="9"/>
        <v>#REF!</v>
      </c>
      <c r="T35" s="191" t="e">
        <f t="shared" si="10"/>
        <v>#REF!</v>
      </c>
    </row>
    <row r="36" spans="1:20" s="55" customFormat="1" ht="16.5" customHeight="1" x14ac:dyDescent="0.25">
      <c r="A36" s="68">
        <v>4</v>
      </c>
      <c r="B36" s="69" t="s">
        <v>55</v>
      </c>
      <c r="D36" s="198">
        <f>VLOOKUP(B36,'WF Need'!$B$7:$AB$64,27, FALSE)</f>
        <v>202532325.58153594</v>
      </c>
      <c r="E36" s="96">
        <f t="shared" si="3"/>
        <v>7.5591333255150869E-2</v>
      </c>
      <c r="F36" s="9" t="e">
        <f>#REF!</f>
        <v>#REF!</v>
      </c>
      <c r="H36" s="204" t="e">
        <f>IF(F36&lt;Floors!$E$4,Floors!$E$4, "-")</f>
        <v>#REF!</v>
      </c>
      <c r="I36" s="68" t="e">
        <f t="shared" si="4"/>
        <v>#REF!</v>
      </c>
      <c r="J36" s="201" t="e">
        <f>IF(I36="Y",VLOOKUP(B36,#REF!,2,FALSE)*1.1,"N/A ")</f>
        <v>#REF!</v>
      </c>
      <c r="K36" s="201" t="e">
        <f t="shared" si="0"/>
        <v>#REF!</v>
      </c>
      <c r="M36" s="201" t="e">
        <f t="shared" si="5"/>
        <v>#REF!</v>
      </c>
      <c r="N36" s="191" t="e">
        <f t="shared" si="1"/>
        <v>#REF!</v>
      </c>
      <c r="O36" s="189" t="e">
        <f t="shared" si="2"/>
        <v>#REF!</v>
      </c>
      <c r="P36" s="191" t="e">
        <f t="shared" si="11"/>
        <v>#REF!</v>
      </c>
      <c r="Q36" s="191" t="e">
        <f t="shared" si="6"/>
        <v>#REF!</v>
      </c>
      <c r="R36" s="192" t="e">
        <f t="shared" si="8"/>
        <v>#REF!</v>
      </c>
      <c r="S36" s="191" t="e">
        <f t="shared" si="9"/>
        <v>#REF!</v>
      </c>
      <c r="T36" s="191" t="e">
        <f t="shared" si="10"/>
        <v>#REF!</v>
      </c>
    </row>
    <row r="37" spans="1:20" s="55" customFormat="1" ht="16.5" customHeight="1" x14ac:dyDescent="0.25">
      <c r="A37" s="68">
        <v>2</v>
      </c>
      <c r="B37" s="69" t="s">
        <v>31</v>
      </c>
      <c r="D37" s="198">
        <f>VLOOKUP(B37,'WF Need'!$B$7:$AB$64,27, FALSE)</f>
        <v>26597229.582415316</v>
      </c>
      <c r="E37" s="96">
        <f t="shared" si="3"/>
        <v>9.9269093921439885E-3</v>
      </c>
      <c r="F37" s="9" t="e">
        <f>#REF!</f>
        <v>#REF!</v>
      </c>
      <c r="H37" s="204" t="e">
        <f>IF(F37&lt;Floors!$E$4,Floors!$E$4, "-")</f>
        <v>#REF!</v>
      </c>
      <c r="I37" s="68" t="e">
        <f t="shared" si="4"/>
        <v>#REF!</v>
      </c>
      <c r="J37" s="201" t="e">
        <f>IF(I37="Y",VLOOKUP(B37,#REF!,2,FALSE)*1.1,"N/A ")</f>
        <v>#REF!</v>
      </c>
      <c r="K37" s="201" t="e">
        <f t="shared" si="0"/>
        <v>#REF!</v>
      </c>
      <c r="M37" s="201" t="e">
        <f t="shared" si="5"/>
        <v>#REF!</v>
      </c>
      <c r="N37" s="191" t="e">
        <f t="shared" si="1"/>
        <v>#REF!</v>
      </c>
      <c r="O37" s="189" t="e">
        <f t="shared" si="2"/>
        <v>#REF!</v>
      </c>
      <c r="P37" s="191" t="e">
        <f t="shared" si="11"/>
        <v>#REF!</v>
      </c>
      <c r="Q37" s="191" t="e">
        <f t="shared" si="6"/>
        <v>#REF!</v>
      </c>
      <c r="R37" s="192" t="e">
        <f t="shared" si="8"/>
        <v>#REF!</v>
      </c>
      <c r="S37" s="191" t="e">
        <f t="shared" si="9"/>
        <v>#REF!</v>
      </c>
      <c r="T37" s="191" t="e">
        <f t="shared" si="10"/>
        <v>#REF!</v>
      </c>
    </row>
    <row r="38" spans="1:20" s="55" customFormat="1" ht="16.5" customHeight="1" x14ac:dyDescent="0.25">
      <c r="A38" s="68">
        <v>1</v>
      </c>
      <c r="B38" s="69" t="s">
        <v>15</v>
      </c>
      <c r="D38" s="198">
        <f>VLOOKUP(B38,'WF Need'!$B$7:$AB$64,27, FALSE)</f>
        <v>1663727.435611998</v>
      </c>
      <c r="E38" s="96">
        <f t="shared" si="3"/>
        <v>6.2095457932444459E-4</v>
      </c>
      <c r="F38" s="9" t="e">
        <f>#REF!</f>
        <v>#REF!</v>
      </c>
      <c r="H38" s="204" t="e">
        <f>IF(F38&lt;Floors!$E$4,Floors!$E$4, "-")</f>
        <v>#REF!</v>
      </c>
      <c r="I38" s="68" t="e">
        <f t="shared" si="4"/>
        <v>#REF!</v>
      </c>
      <c r="J38" s="201" t="e">
        <f>IF(I38="Y",VLOOKUP(B38,#REF!,2,FALSE)*1.1,"N/A ")</f>
        <v>#REF!</v>
      </c>
      <c r="K38" s="201" t="e">
        <f t="shared" si="0"/>
        <v>#REF!</v>
      </c>
      <c r="M38" s="201" t="e">
        <f t="shared" si="5"/>
        <v>#REF!</v>
      </c>
      <c r="N38" s="191" t="e">
        <f t="shared" si="1"/>
        <v>#REF!</v>
      </c>
      <c r="O38" s="191" t="e">
        <f t="shared" si="2"/>
        <v>#REF!</v>
      </c>
      <c r="P38" s="191" t="e">
        <f t="shared" si="11"/>
        <v>#REF!</v>
      </c>
      <c r="Q38" s="191" t="e">
        <f t="shared" si="6"/>
        <v>#REF!</v>
      </c>
      <c r="R38" s="192" t="e">
        <f t="shared" si="8"/>
        <v>#REF!</v>
      </c>
      <c r="S38" s="191" t="e">
        <f t="shared" si="9"/>
        <v>#REF!</v>
      </c>
      <c r="T38" s="191" t="e">
        <f t="shared" si="10"/>
        <v>#REF!</v>
      </c>
    </row>
    <row r="39" spans="1:20" s="55" customFormat="1" ht="16.5" customHeight="1" x14ac:dyDescent="0.25">
      <c r="A39" s="68">
        <v>4</v>
      </c>
      <c r="B39" s="69" t="s">
        <v>56</v>
      </c>
      <c r="D39" s="198">
        <f>VLOOKUP(B39,'WF Need'!$B$7:$AB$64,27, FALSE)</f>
        <v>146241645.64945099</v>
      </c>
      <c r="E39" s="96">
        <f t="shared" si="3"/>
        <v>5.4581909037621487E-2</v>
      </c>
      <c r="F39" s="9" t="e">
        <f>#REF!</f>
        <v>#REF!</v>
      </c>
      <c r="H39" s="204" t="e">
        <f>IF(F39&lt;Floors!$E$4,Floors!$E$4, "-")</f>
        <v>#REF!</v>
      </c>
      <c r="I39" s="68" t="e">
        <f t="shared" si="4"/>
        <v>#REF!</v>
      </c>
      <c r="J39" s="201" t="e">
        <f>IF(I39="Y",VLOOKUP(B39,#REF!,2,FALSE)*1.1,"N/A ")</f>
        <v>#REF!</v>
      </c>
      <c r="K39" s="201" t="e">
        <f t="shared" si="0"/>
        <v>#REF!</v>
      </c>
      <c r="M39" s="201" t="e">
        <f t="shared" si="5"/>
        <v>#REF!</v>
      </c>
      <c r="N39" s="191" t="e">
        <f t="shared" si="1"/>
        <v>#REF!</v>
      </c>
      <c r="O39" s="189" t="e">
        <f t="shared" si="2"/>
        <v>#REF!</v>
      </c>
      <c r="P39" s="191" t="e">
        <f t="shared" si="11"/>
        <v>#REF!</v>
      </c>
      <c r="Q39" s="191" t="e">
        <f t="shared" si="6"/>
        <v>#REF!</v>
      </c>
      <c r="R39" s="192" t="e">
        <f t="shared" si="8"/>
        <v>#REF!</v>
      </c>
      <c r="S39" s="191" t="e">
        <f t="shared" si="9"/>
        <v>#REF!</v>
      </c>
      <c r="T39" s="191" t="e">
        <f t="shared" si="10"/>
        <v>#REF!</v>
      </c>
    </row>
    <row r="40" spans="1:20" s="55" customFormat="1" ht="16.5" customHeight="1" x14ac:dyDescent="0.25">
      <c r="A40" s="68">
        <v>4</v>
      </c>
      <c r="B40" s="69" t="s">
        <v>57</v>
      </c>
      <c r="D40" s="198">
        <f>VLOOKUP(B40,'WF Need'!$B$7:$AB$64,27, FALSE)</f>
        <v>116258997.37531561</v>
      </c>
      <c r="E40" s="96">
        <f t="shared" si="3"/>
        <v>4.3391456594760867E-2</v>
      </c>
      <c r="F40" s="9" t="e">
        <f>#REF!</f>
        <v>#REF!</v>
      </c>
      <c r="H40" s="204" t="e">
        <f>IF(F40&lt;Floors!$E$4,Floors!$E$4, "-")</f>
        <v>#REF!</v>
      </c>
      <c r="I40" s="68" t="e">
        <f t="shared" si="4"/>
        <v>#REF!</v>
      </c>
      <c r="J40" s="201" t="e">
        <f>IF(I40="Y",VLOOKUP(B40,#REF!,2,FALSE)*1.1,"N/A ")</f>
        <v>#REF!</v>
      </c>
      <c r="K40" s="201" t="e">
        <f t="shared" si="0"/>
        <v>#REF!</v>
      </c>
      <c r="M40" s="201" t="e">
        <f t="shared" si="5"/>
        <v>#REF!</v>
      </c>
      <c r="N40" s="191" t="e">
        <f t="shared" si="1"/>
        <v>#REF!</v>
      </c>
      <c r="O40" s="189" t="e">
        <f t="shared" si="2"/>
        <v>#REF!</v>
      </c>
      <c r="P40" s="191" t="e">
        <f t="shared" si="11"/>
        <v>#REF!</v>
      </c>
      <c r="Q40" s="191" t="e">
        <f t="shared" si="6"/>
        <v>#REF!</v>
      </c>
      <c r="R40" s="192" t="e">
        <f t="shared" si="8"/>
        <v>#REF!</v>
      </c>
      <c r="S40" s="191" t="e">
        <f t="shared" si="9"/>
        <v>#REF!</v>
      </c>
      <c r="T40" s="191" t="e">
        <f t="shared" si="10"/>
        <v>#REF!</v>
      </c>
    </row>
    <row r="41" spans="1:20" s="55" customFormat="1" ht="16.5" customHeight="1" x14ac:dyDescent="0.25">
      <c r="A41" s="68">
        <v>1</v>
      </c>
      <c r="B41" s="69" t="s">
        <v>16</v>
      </c>
      <c r="D41" s="198">
        <f>VLOOKUP(B41,'WF Need'!$B$7:$AB$64,27, FALSE)</f>
        <v>4662437.5067758877</v>
      </c>
      <c r="E41" s="96">
        <f t="shared" si="3"/>
        <v>1.7401660023605703E-3</v>
      </c>
      <c r="F41" s="9" t="e">
        <f>#REF!</f>
        <v>#REF!</v>
      </c>
      <c r="H41" s="204" t="e">
        <f>IF(F41&lt;Floors!$E$4,Floors!$E$4, "-")</f>
        <v>#REF!</v>
      </c>
      <c r="I41" s="68" t="e">
        <f t="shared" si="4"/>
        <v>#REF!</v>
      </c>
      <c r="J41" s="201" t="e">
        <f>IF(I41="Y",VLOOKUP(B41,#REF!,2,FALSE)*1.1,"N/A ")</f>
        <v>#REF!</v>
      </c>
      <c r="K41" s="201" t="e">
        <f t="shared" si="0"/>
        <v>#REF!</v>
      </c>
      <c r="M41" s="201" t="e">
        <f t="shared" si="5"/>
        <v>#REF!</v>
      </c>
      <c r="N41" s="191" t="e">
        <f t="shared" si="1"/>
        <v>#REF!</v>
      </c>
      <c r="O41" s="189" t="e">
        <f t="shared" si="2"/>
        <v>#REF!</v>
      </c>
      <c r="P41" s="191" t="e">
        <f t="shared" si="11"/>
        <v>#REF!</v>
      </c>
      <c r="Q41" s="191" t="e">
        <f t="shared" si="6"/>
        <v>#REF!</v>
      </c>
      <c r="R41" s="192" t="e">
        <f t="shared" si="8"/>
        <v>#REF!</v>
      </c>
      <c r="S41" s="191" t="e">
        <f t="shared" si="9"/>
        <v>#REF!</v>
      </c>
      <c r="T41" s="191" t="e">
        <f t="shared" si="10"/>
        <v>#REF!</v>
      </c>
    </row>
    <row r="42" spans="1:20" s="55" customFormat="1" ht="16.5" customHeight="1" x14ac:dyDescent="0.25">
      <c r="A42" s="68">
        <v>4</v>
      </c>
      <c r="B42" s="69" t="s">
        <v>58</v>
      </c>
      <c r="D42" s="198">
        <f>VLOOKUP(B42,'WF Need'!$B$7:$AB$64,27, FALSE)</f>
        <v>153053478.82854664</v>
      </c>
      <c r="E42" s="96">
        <f t="shared" si="3"/>
        <v>5.7124296039010154E-2</v>
      </c>
      <c r="F42" s="9" t="e">
        <f>#REF!</f>
        <v>#REF!</v>
      </c>
      <c r="H42" s="204" t="e">
        <f>IF(F42&lt;Floors!$E$4,Floors!$E$4, "-")</f>
        <v>#REF!</v>
      </c>
      <c r="I42" s="68" t="e">
        <f t="shared" si="4"/>
        <v>#REF!</v>
      </c>
      <c r="J42" s="201" t="e">
        <f>IF(I42="Y",VLOOKUP(B42,#REF!,2,FALSE)*1.1,"N/A ")</f>
        <v>#REF!</v>
      </c>
      <c r="K42" s="201" t="e">
        <f t="shared" si="0"/>
        <v>#REF!</v>
      </c>
      <c r="M42" s="201" t="e">
        <f t="shared" si="5"/>
        <v>#REF!</v>
      </c>
      <c r="N42" s="191" t="e">
        <f t="shared" si="1"/>
        <v>#REF!</v>
      </c>
      <c r="O42" s="189" t="e">
        <f t="shared" si="2"/>
        <v>#REF!</v>
      </c>
      <c r="P42" s="191" t="e">
        <f>IF(M42="n/a",(IF(AND(H42=750000,(F42&gt;750000)), H42-F42, 0)),M42-F42)</f>
        <v>#REF!</v>
      </c>
      <c r="Q42" s="191" t="e">
        <f t="shared" si="6"/>
        <v>#REF!</v>
      </c>
      <c r="R42" s="192" t="e">
        <f t="shared" si="8"/>
        <v>#REF!</v>
      </c>
      <c r="S42" s="191" t="e">
        <f t="shared" si="9"/>
        <v>#REF!</v>
      </c>
      <c r="T42" s="191" t="e">
        <f t="shared" si="10"/>
        <v>#REF!</v>
      </c>
    </row>
    <row r="43" spans="1:20" s="55" customFormat="1" ht="16.5" customHeight="1" x14ac:dyDescent="0.25">
      <c r="A43" s="68">
        <v>4</v>
      </c>
      <c r="B43" s="69" t="s">
        <v>59</v>
      </c>
      <c r="D43" s="198">
        <f>VLOOKUP(B43,'WF Need'!$B$7:$AB$64,27, FALSE)</f>
        <v>184697021.20430306</v>
      </c>
      <c r="E43" s="96">
        <f t="shared" si="3"/>
        <v>6.8934645573244496E-2</v>
      </c>
      <c r="F43" s="9" t="e">
        <f>#REF!</f>
        <v>#REF!</v>
      </c>
      <c r="H43" s="204" t="e">
        <f>IF(F43&lt;Floors!$E$4,Floors!$E$4, "-")</f>
        <v>#REF!</v>
      </c>
      <c r="I43" s="68" t="e">
        <f t="shared" si="4"/>
        <v>#REF!</v>
      </c>
      <c r="J43" s="201" t="e">
        <f>IF(I43="Y",VLOOKUP(B43,#REF!,2,FALSE)*1.1,"N/A ")</f>
        <v>#REF!</v>
      </c>
      <c r="K43" s="201" t="e">
        <f t="shared" si="0"/>
        <v>#REF!</v>
      </c>
      <c r="M43" s="201" t="e">
        <f t="shared" si="5"/>
        <v>#REF!</v>
      </c>
      <c r="N43" s="191" t="e">
        <f t="shared" si="1"/>
        <v>#REF!</v>
      </c>
      <c r="O43" s="189" t="e">
        <f t="shared" si="2"/>
        <v>#REF!</v>
      </c>
      <c r="P43" s="191" t="e">
        <f>IF(M43="n/a",(IF(AND(H43=750000,(F43&gt;750000)), H43-F43, 0)),M43-F43)</f>
        <v>#REF!</v>
      </c>
      <c r="Q43" s="191" t="e">
        <f t="shared" si="6"/>
        <v>#REF!</v>
      </c>
      <c r="R43" s="192" t="e">
        <f t="shared" si="8"/>
        <v>#REF!</v>
      </c>
      <c r="S43" s="191" t="e">
        <f t="shared" si="9"/>
        <v>#REF!</v>
      </c>
      <c r="T43" s="191" t="e">
        <f t="shared" si="10"/>
        <v>#REF!</v>
      </c>
    </row>
    <row r="44" spans="1:20" s="55" customFormat="1" ht="16.5" customHeight="1" x14ac:dyDescent="0.25">
      <c r="A44" s="68">
        <v>4</v>
      </c>
      <c r="B44" s="69" t="s">
        <v>60</v>
      </c>
      <c r="D44" s="198">
        <f>VLOOKUP(B44,'WF Need'!$B$7:$AB$64,27, FALSE)</f>
        <v>56836451.907024495</v>
      </c>
      <c r="E44" s="96">
        <f t="shared" si="3"/>
        <v>2.1213123212840471E-2</v>
      </c>
      <c r="F44" s="9" t="e">
        <f>#REF!</f>
        <v>#REF!</v>
      </c>
      <c r="H44" s="204" t="e">
        <f>IF(F44&lt;Floors!$E$4,Floors!$E$4, "-")</f>
        <v>#REF!</v>
      </c>
      <c r="I44" s="68" t="e">
        <f t="shared" si="4"/>
        <v>#REF!</v>
      </c>
      <c r="J44" s="201" t="e">
        <f>IF(I44="Y",VLOOKUP(B44,#REF!,2,FALSE)*1.1,"N/A ")</f>
        <v>#REF!</v>
      </c>
      <c r="K44" s="201" t="e">
        <f t="shared" si="0"/>
        <v>#REF!</v>
      </c>
      <c r="M44" s="201" t="e">
        <f t="shared" si="5"/>
        <v>#REF!</v>
      </c>
      <c r="N44" s="191" t="e">
        <f t="shared" si="1"/>
        <v>#REF!</v>
      </c>
      <c r="O44" s="189" t="e">
        <f t="shared" si="2"/>
        <v>#REF!</v>
      </c>
      <c r="P44" s="191" t="e">
        <f t="shared" ref="P44:P54" si="12">IF(M44="n/a",(IF(AND(H44=750000,(F44&gt;750000)), H44-F44, 0)),M44-F44)</f>
        <v>#REF!</v>
      </c>
      <c r="Q44" s="191" t="e">
        <f t="shared" si="6"/>
        <v>#REF!</v>
      </c>
      <c r="R44" s="192" t="e">
        <f t="shared" si="8"/>
        <v>#REF!</v>
      </c>
      <c r="S44" s="191" t="e">
        <f t="shared" si="9"/>
        <v>#REF!</v>
      </c>
      <c r="T44" s="191" t="e">
        <f t="shared" si="10"/>
        <v>#REF!</v>
      </c>
    </row>
    <row r="45" spans="1:20" s="55" customFormat="1" ht="16.5" customHeight="1" x14ac:dyDescent="0.25">
      <c r="A45" s="68">
        <v>3</v>
      </c>
      <c r="B45" s="69" t="s">
        <v>45</v>
      </c>
      <c r="D45" s="198">
        <f>VLOOKUP(B45,'WF Need'!$B$7:$AB$64,27, FALSE)</f>
        <v>55277714.084402643</v>
      </c>
      <c r="E45" s="96">
        <f t="shared" si="3"/>
        <v>2.0631354007016676E-2</v>
      </c>
      <c r="F45" s="9" t="e">
        <f>#REF!</f>
        <v>#REF!</v>
      </c>
      <c r="H45" s="204" t="e">
        <f>IF(F45&lt;Floors!$E$4,Floors!$E$4, "-")</f>
        <v>#REF!</v>
      </c>
      <c r="I45" s="68" t="e">
        <f t="shared" si="4"/>
        <v>#REF!</v>
      </c>
      <c r="J45" s="201" t="e">
        <f>IF(I45="Y",VLOOKUP(B45,#REF!,2,FALSE)*1.1,"N/A ")</f>
        <v>#REF!</v>
      </c>
      <c r="K45" s="201" t="e">
        <f t="shared" si="0"/>
        <v>#REF!</v>
      </c>
      <c r="M45" s="201" t="e">
        <f t="shared" si="5"/>
        <v>#REF!</v>
      </c>
      <c r="N45" s="191" t="e">
        <f t="shared" si="1"/>
        <v>#REF!</v>
      </c>
      <c r="O45" s="189" t="e">
        <f t="shared" si="2"/>
        <v>#REF!</v>
      </c>
      <c r="P45" s="191" t="e">
        <f t="shared" si="12"/>
        <v>#REF!</v>
      </c>
      <c r="Q45" s="191" t="e">
        <f t="shared" si="6"/>
        <v>#REF!</v>
      </c>
      <c r="R45" s="192" t="e">
        <f t="shared" si="8"/>
        <v>#REF!</v>
      </c>
      <c r="S45" s="191" t="e">
        <f t="shared" si="9"/>
        <v>#REF!</v>
      </c>
      <c r="T45" s="191" t="e">
        <f t="shared" si="10"/>
        <v>#REF!</v>
      </c>
    </row>
    <row r="46" spans="1:20" s="55" customFormat="1" ht="16.5" customHeight="1" x14ac:dyDescent="0.25">
      <c r="A46" s="68">
        <v>2</v>
      </c>
      <c r="B46" s="69" t="s">
        <v>32</v>
      </c>
      <c r="D46" s="198">
        <f>VLOOKUP(B46,'WF Need'!$B$7:$AB$64,27, FALSE)</f>
        <v>19973483.629517503</v>
      </c>
      <c r="E46" s="96">
        <f t="shared" si="3"/>
        <v>7.4547223657752855E-3</v>
      </c>
      <c r="F46" s="9" t="e">
        <f>#REF!</f>
        <v>#REF!</v>
      </c>
      <c r="H46" s="204" t="e">
        <f>IF(F46&lt;Floors!$E$4,Floors!$E$4, "-")</f>
        <v>#REF!</v>
      </c>
      <c r="I46" s="68" t="e">
        <f t="shared" si="4"/>
        <v>#REF!</v>
      </c>
      <c r="J46" s="201" t="e">
        <f>IF(I46="Y",VLOOKUP(B46,#REF!,2,FALSE)*1.1,"N/A ")</f>
        <v>#REF!</v>
      </c>
      <c r="K46" s="201" t="e">
        <f t="shared" si="0"/>
        <v>#REF!</v>
      </c>
      <c r="M46" s="201" t="e">
        <f t="shared" si="5"/>
        <v>#REF!</v>
      </c>
      <c r="N46" s="191" t="e">
        <f t="shared" si="1"/>
        <v>#REF!</v>
      </c>
      <c r="O46" s="189" t="e">
        <f t="shared" si="2"/>
        <v>#REF!</v>
      </c>
      <c r="P46" s="191" t="e">
        <f t="shared" si="12"/>
        <v>#REF!</v>
      </c>
      <c r="Q46" s="191" t="e">
        <f t="shared" si="6"/>
        <v>#REF!</v>
      </c>
      <c r="R46" s="192" t="e">
        <f t="shared" si="8"/>
        <v>#REF!</v>
      </c>
      <c r="S46" s="191" t="e">
        <f t="shared" si="9"/>
        <v>#REF!</v>
      </c>
      <c r="T46" s="191" t="e">
        <f t="shared" si="10"/>
        <v>#REF!</v>
      </c>
    </row>
    <row r="47" spans="1:20" s="55" customFormat="1" ht="16.5" customHeight="1" x14ac:dyDescent="0.25">
      <c r="A47" s="68">
        <v>3</v>
      </c>
      <c r="B47" s="69" t="s">
        <v>46</v>
      </c>
      <c r="D47" s="198">
        <f>VLOOKUP(B47,'WF Need'!$B$7:$AB$64,27, FALSE)</f>
        <v>47815932.007248364</v>
      </c>
      <c r="E47" s="96">
        <f t="shared" si="3"/>
        <v>1.7846385957832812E-2</v>
      </c>
      <c r="F47" s="9" t="e">
        <f>#REF!</f>
        <v>#REF!</v>
      </c>
      <c r="H47" s="204" t="e">
        <f>IF(F47&lt;Floors!$E$4,Floors!$E$4, "-")</f>
        <v>#REF!</v>
      </c>
      <c r="I47" s="68" t="e">
        <f t="shared" si="4"/>
        <v>#REF!</v>
      </c>
      <c r="J47" s="201" t="e">
        <f>IF(I47="Y",VLOOKUP(B47,#REF!,2,FALSE)*1.1,"N/A ")</f>
        <v>#REF!</v>
      </c>
      <c r="K47" s="201" t="e">
        <f t="shared" si="0"/>
        <v>#REF!</v>
      </c>
      <c r="M47" s="201" t="e">
        <f t="shared" si="5"/>
        <v>#REF!</v>
      </c>
      <c r="N47" s="191" t="e">
        <f t="shared" si="1"/>
        <v>#REF!</v>
      </c>
      <c r="O47" s="189" t="e">
        <f t="shared" si="2"/>
        <v>#REF!</v>
      </c>
      <c r="P47" s="191" t="e">
        <f t="shared" si="12"/>
        <v>#REF!</v>
      </c>
      <c r="Q47" s="191" t="e">
        <f t="shared" si="6"/>
        <v>#REF!</v>
      </c>
      <c r="R47" s="192" t="e">
        <f t="shared" si="8"/>
        <v>#REF!</v>
      </c>
      <c r="S47" s="191" t="e">
        <f t="shared" si="9"/>
        <v>#REF!</v>
      </c>
      <c r="T47" s="191" t="e">
        <f t="shared" si="10"/>
        <v>#REF!</v>
      </c>
    </row>
    <row r="48" spans="1:20" s="55" customFormat="1" ht="16.5" customHeight="1" x14ac:dyDescent="0.25">
      <c r="A48" s="68">
        <v>3</v>
      </c>
      <c r="B48" s="69" t="s">
        <v>47</v>
      </c>
      <c r="D48" s="198">
        <f>VLOOKUP(B48,'WF Need'!$B$7:$AB$64,27, FALSE)</f>
        <v>28186947.624820523</v>
      </c>
      <c r="E48" s="96">
        <f t="shared" si="3"/>
        <v>1.0520241374977516E-2</v>
      </c>
      <c r="F48" s="9" t="e">
        <f>#REF!</f>
        <v>#REF!</v>
      </c>
      <c r="H48" s="204" t="e">
        <f>IF(F48&lt;Floors!$E$4,Floors!$E$4, "-")</f>
        <v>#REF!</v>
      </c>
      <c r="I48" s="68" t="e">
        <f t="shared" si="4"/>
        <v>#REF!</v>
      </c>
      <c r="J48" s="201" t="e">
        <f>IF(I48="Y",VLOOKUP(B48,#REF!,2,FALSE)*1.1,"N/A ")</f>
        <v>#REF!</v>
      </c>
      <c r="K48" s="201" t="e">
        <f t="shared" si="0"/>
        <v>#REF!</v>
      </c>
      <c r="M48" s="201" t="e">
        <f t="shared" si="5"/>
        <v>#REF!</v>
      </c>
      <c r="N48" s="191" t="e">
        <f t="shared" si="1"/>
        <v>#REF!</v>
      </c>
      <c r="O48" s="189" t="e">
        <f t="shared" si="2"/>
        <v>#REF!</v>
      </c>
      <c r="P48" s="191" t="e">
        <f t="shared" si="12"/>
        <v>#REF!</v>
      </c>
      <c r="Q48" s="191" t="e">
        <f t="shared" si="6"/>
        <v>#REF!</v>
      </c>
      <c r="R48" s="192" t="e">
        <f t="shared" si="8"/>
        <v>#REF!</v>
      </c>
      <c r="S48" s="191" t="e">
        <f t="shared" si="9"/>
        <v>#REF!</v>
      </c>
      <c r="T48" s="191" t="e">
        <f t="shared" si="10"/>
        <v>#REF!</v>
      </c>
    </row>
    <row r="49" spans="1:20" s="55" customFormat="1" ht="16.5" customHeight="1" x14ac:dyDescent="0.25">
      <c r="A49" s="68">
        <v>4</v>
      </c>
      <c r="B49" s="69" t="s">
        <v>61</v>
      </c>
      <c r="D49" s="198">
        <f>VLOOKUP(B49,'WF Need'!$B$7:$AB$64,27, FALSE)</f>
        <v>100038958.26250994</v>
      </c>
      <c r="E49" s="96">
        <f t="shared" si="3"/>
        <v>3.7337635909755841E-2</v>
      </c>
      <c r="F49" s="9" t="e">
        <f>#REF!</f>
        <v>#REF!</v>
      </c>
      <c r="H49" s="204" t="e">
        <f>IF(F49&lt;Floors!$E$4,Floors!$E$4, "-")</f>
        <v>#REF!</v>
      </c>
      <c r="I49" s="68" t="e">
        <f t="shared" si="4"/>
        <v>#REF!</v>
      </c>
      <c r="J49" s="201" t="e">
        <f>IF(I49="Y",VLOOKUP(B49,#REF!,2,FALSE)*1.1,"N/A ")</f>
        <v>#REF!</v>
      </c>
      <c r="K49" s="201" t="e">
        <f t="shared" si="0"/>
        <v>#REF!</v>
      </c>
      <c r="M49" s="201" t="e">
        <f t="shared" si="5"/>
        <v>#REF!</v>
      </c>
      <c r="N49" s="191" t="e">
        <f t="shared" si="1"/>
        <v>#REF!</v>
      </c>
      <c r="O49" s="189" t="e">
        <f t="shared" si="2"/>
        <v>#REF!</v>
      </c>
      <c r="P49" s="191" t="e">
        <f t="shared" si="12"/>
        <v>#REF!</v>
      </c>
      <c r="Q49" s="191" t="e">
        <f t="shared" si="6"/>
        <v>#REF!</v>
      </c>
      <c r="R49" s="192" t="e">
        <f t="shared" si="8"/>
        <v>#REF!</v>
      </c>
      <c r="S49" s="191" t="e">
        <f t="shared" si="9"/>
        <v>#REF!</v>
      </c>
      <c r="T49" s="191" t="e">
        <f t="shared" si="10"/>
        <v>#REF!</v>
      </c>
    </row>
    <row r="50" spans="1:20" s="55" customFormat="1" ht="16.5" customHeight="1" x14ac:dyDescent="0.25">
      <c r="A50" s="68">
        <v>2</v>
      </c>
      <c r="B50" s="69" t="s">
        <v>33</v>
      </c>
      <c r="D50" s="198">
        <f>VLOOKUP(B50,'WF Need'!$B$7:$AB$64,27, FALSE)</f>
        <v>17999527.465484153</v>
      </c>
      <c r="E50" s="96">
        <f t="shared" si="3"/>
        <v>6.7179808219350002E-3</v>
      </c>
      <c r="F50" s="9" t="e">
        <f>#REF!</f>
        <v>#REF!</v>
      </c>
      <c r="H50" s="204" t="e">
        <f>IF(F50&lt;Floors!$E$4,Floors!$E$4, "-")</f>
        <v>#REF!</v>
      </c>
      <c r="I50" s="68" t="e">
        <f t="shared" si="4"/>
        <v>#REF!</v>
      </c>
      <c r="J50" s="201" t="e">
        <f>IF(I50="Y",VLOOKUP(B50,#REF!,2,FALSE)*1.1,"N/A ")</f>
        <v>#REF!</v>
      </c>
      <c r="K50" s="201" t="e">
        <f t="shared" si="0"/>
        <v>#REF!</v>
      </c>
      <c r="M50" s="201" t="e">
        <f t="shared" si="5"/>
        <v>#REF!</v>
      </c>
      <c r="N50" s="191" t="e">
        <f t="shared" si="1"/>
        <v>#REF!</v>
      </c>
      <c r="O50" s="189" t="e">
        <f t="shared" si="2"/>
        <v>#REF!</v>
      </c>
      <c r="P50" s="191" t="e">
        <f t="shared" si="12"/>
        <v>#REF!</v>
      </c>
      <c r="Q50" s="191" t="e">
        <f t="shared" si="6"/>
        <v>#REF!</v>
      </c>
      <c r="R50" s="192" t="e">
        <f t="shared" si="8"/>
        <v>#REF!</v>
      </c>
      <c r="S50" s="191" t="e">
        <f t="shared" si="9"/>
        <v>#REF!</v>
      </c>
      <c r="T50" s="191" t="e">
        <f t="shared" si="10"/>
        <v>#REF!</v>
      </c>
    </row>
    <row r="51" spans="1:20" s="55" customFormat="1" ht="16.5" customHeight="1" x14ac:dyDescent="0.25">
      <c r="A51" s="68">
        <v>2</v>
      </c>
      <c r="B51" s="69" t="s">
        <v>34</v>
      </c>
      <c r="D51" s="198">
        <f>VLOOKUP(B51,'WF Need'!$B$7:$AB$64,27, FALSE)</f>
        <v>17175140.008784495</v>
      </c>
      <c r="E51" s="96">
        <f t="shared" si="3"/>
        <v>6.410293904343849E-3</v>
      </c>
      <c r="F51" s="9" t="e">
        <f>#REF!</f>
        <v>#REF!</v>
      </c>
      <c r="H51" s="204" t="e">
        <f>IF(F51&lt;Floors!$E$4,Floors!$E$4, "-")</f>
        <v>#REF!</v>
      </c>
      <c r="I51" s="68" t="e">
        <f t="shared" si="4"/>
        <v>#REF!</v>
      </c>
      <c r="J51" s="201" t="e">
        <f>IF(I51="Y",VLOOKUP(B51,#REF!,2,FALSE)*1.1,"N/A ")</f>
        <v>#REF!</v>
      </c>
      <c r="K51" s="201" t="e">
        <f t="shared" si="0"/>
        <v>#REF!</v>
      </c>
      <c r="M51" s="201" t="e">
        <f t="shared" si="5"/>
        <v>#REF!</v>
      </c>
      <c r="N51" s="191" t="e">
        <f t="shared" si="1"/>
        <v>#REF!</v>
      </c>
      <c r="O51" s="189" t="e">
        <f t="shared" si="2"/>
        <v>#REF!</v>
      </c>
      <c r="P51" s="191" t="e">
        <f t="shared" si="12"/>
        <v>#REF!</v>
      </c>
      <c r="Q51" s="191" t="e">
        <f t="shared" si="6"/>
        <v>#REF!</v>
      </c>
      <c r="R51" s="192" t="e">
        <f t="shared" si="8"/>
        <v>#REF!</v>
      </c>
      <c r="S51" s="191" t="e">
        <f t="shared" si="9"/>
        <v>#REF!</v>
      </c>
      <c r="T51" s="191" t="e">
        <f t="shared" si="10"/>
        <v>#REF!</v>
      </c>
    </row>
    <row r="52" spans="1:20" s="55" customFormat="1" ht="16.5" customHeight="1" x14ac:dyDescent="0.25">
      <c r="A52" s="68">
        <v>1</v>
      </c>
      <c r="B52" s="69" t="s">
        <v>17</v>
      </c>
      <c r="D52" s="198">
        <f>VLOOKUP(B52,'WF Need'!$B$7:$AB$64,27, FALSE)</f>
        <v>392700.17586264334</v>
      </c>
      <c r="E52" s="96">
        <f t="shared" si="3"/>
        <v>1.4656786158829188E-4</v>
      </c>
      <c r="F52" s="9" t="e">
        <f>#REF!</f>
        <v>#REF!</v>
      </c>
      <c r="H52" s="204" t="e">
        <f>IF(F52&lt;Floors!$E$4,Floors!$E$4, "-")</f>
        <v>#REF!</v>
      </c>
      <c r="I52" s="68" t="e">
        <f t="shared" si="4"/>
        <v>#REF!</v>
      </c>
      <c r="J52" s="201" t="e">
        <f>IF(I52="Y",VLOOKUP(B52,#REF!,2,FALSE)*1.1,"N/A ")</f>
        <v>#REF!</v>
      </c>
      <c r="K52" s="201" t="e">
        <f>IF(I52="Y",F52, "N/A ")</f>
        <v>#REF!</v>
      </c>
      <c r="M52" s="202" t="e">
        <f t="shared" si="5"/>
        <v>#REF!</v>
      </c>
      <c r="N52" s="191" t="e">
        <f t="shared" si="1"/>
        <v>#REF!</v>
      </c>
      <c r="O52" s="191" t="e">
        <f t="shared" si="2"/>
        <v>#REF!</v>
      </c>
      <c r="P52" s="191" t="e">
        <f t="shared" si="12"/>
        <v>#REF!</v>
      </c>
      <c r="Q52" s="191" t="e">
        <f t="shared" si="6"/>
        <v>#REF!</v>
      </c>
      <c r="R52" s="192" t="e">
        <f t="shared" si="8"/>
        <v>#REF!</v>
      </c>
      <c r="S52" s="191" t="e">
        <f t="shared" si="9"/>
        <v>#REF!</v>
      </c>
      <c r="T52" s="191" t="e">
        <f t="shared" si="10"/>
        <v>#REF!</v>
      </c>
    </row>
    <row r="53" spans="1:20" s="55" customFormat="1" ht="16.5" customHeight="1" x14ac:dyDescent="0.25">
      <c r="A53" s="68">
        <v>2</v>
      </c>
      <c r="B53" s="69" t="s">
        <v>35</v>
      </c>
      <c r="D53" s="198">
        <f>VLOOKUP(B53,'WF Need'!$B$7:$AB$64,27, FALSE)</f>
        <v>4651574.3571456829</v>
      </c>
      <c r="E53" s="96">
        <f t="shared" si="3"/>
        <v>1.7361115386519276E-3</v>
      </c>
      <c r="F53" s="9" t="e">
        <f>#REF!</f>
        <v>#REF!</v>
      </c>
      <c r="H53" s="204" t="e">
        <f>IF(F53&lt;Floors!$E$4,Floors!$E$4, "-")</f>
        <v>#REF!</v>
      </c>
      <c r="I53" s="68" t="e">
        <f t="shared" si="4"/>
        <v>#REF!</v>
      </c>
      <c r="J53" s="201" t="e">
        <f>IF(I53="Y",VLOOKUP(B53,#REF!,2,FALSE)*1.1,"N/A ")</f>
        <v>#REF!</v>
      </c>
      <c r="K53" s="201" t="e">
        <f t="shared" si="0"/>
        <v>#REF!</v>
      </c>
      <c r="M53" s="201" t="e">
        <f t="shared" si="5"/>
        <v>#REF!</v>
      </c>
      <c r="N53" s="191" t="e">
        <f t="shared" si="1"/>
        <v>#REF!</v>
      </c>
      <c r="O53" s="189" t="e">
        <f t="shared" si="2"/>
        <v>#REF!</v>
      </c>
      <c r="P53" s="191" t="e">
        <f t="shared" si="12"/>
        <v>#REF!</v>
      </c>
      <c r="Q53" s="191" t="e">
        <f t="shared" si="6"/>
        <v>#REF!</v>
      </c>
      <c r="R53" s="192" t="e">
        <f t="shared" si="8"/>
        <v>#REF!</v>
      </c>
      <c r="S53" s="191" t="e">
        <f t="shared" si="9"/>
        <v>#REF!</v>
      </c>
      <c r="T53" s="191" t="e">
        <f t="shared" si="10"/>
        <v>#REF!</v>
      </c>
    </row>
    <row r="54" spans="1:20" s="55" customFormat="1" ht="16.5" customHeight="1" x14ac:dyDescent="0.25">
      <c r="A54" s="68">
        <v>3</v>
      </c>
      <c r="B54" s="69" t="s">
        <v>48</v>
      </c>
      <c r="D54" s="198">
        <f>VLOOKUP(B54,'WF Need'!$B$7:$AB$64,27, FALSE)</f>
        <v>31142713.187955298</v>
      </c>
      <c r="E54" s="96">
        <f t="shared" si="3"/>
        <v>1.1623424578278415E-2</v>
      </c>
      <c r="F54" s="9" t="e">
        <f>#REF!</f>
        <v>#REF!</v>
      </c>
      <c r="H54" s="204" t="e">
        <f>IF(F54&lt;Floors!$E$4,Floors!$E$4, "-")</f>
        <v>#REF!</v>
      </c>
      <c r="I54" s="68" t="e">
        <f t="shared" si="4"/>
        <v>#REF!</v>
      </c>
      <c r="J54" s="201" t="e">
        <f>IF(I54="Y",VLOOKUP(B54,#REF!,2,FALSE)*1.1,"N/A ")</f>
        <v>#REF!</v>
      </c>
      <c r="K54" s="201" t="e">
        <f t="shared" si="0"/>
        <v>#REF!</v>
      </c>
      <c r="M54" s="201" t="e">
        <f t="shared" si="5"/>
        <v>#REF!</v>
      </c>
      <c r="N54" s="191" t="e">
        <f t="shared" si="1"/>
        <v>#REF!</v>
      </c>
      <c r="O54" s="189" t="e">
        <f t="shared" si="2"/>
        <v>#REF!</v>
      </c>
      <c r="P54" s="191" t="e">
        <f t="shared" si="12"/>
        <v>#REF!</v>
      </c>
      <c r="Q54" s="191" t="e">
        <f t="shared" si="6"/>
        <v>#REF!</v>
      </c>
      <c r="R54" s="192" t="e">
        <f t="shared" si="8"/>
        <v>#REF!</v>
      </c>
      <c r="S54" s="191" t="e">
        <f t="shared" si="9"/>
        <v>#REF!</v>
      </c>
      <c r="T54" s="191" t="e">
        <f t="shared" si="10"/>
        <v>#REF!</v>
      </c>
    </row>
    <row r="55" spans="1:20" s="55" customFormat="1" ht="16.5" customHeight="1" x14ac:dyDescent="0.25">
      <c r="A55" s="68">
        <v>3</v>
      </c>
      <c r="B55" s="69" t="s">
        <v>49</v>
      </c>
      <c r="D55" s="198">
        <f>VLOOKUP(B55,'WF Need'!$B$7:$AB$64,27, FALSE)</f>
        <v>32952276.990694281</v>
      </c>
      <c r="E55" s="96">
        <f t="shared" si="3"/>
        <v>1.229880980415058E-2</v>
      </c>
      <c r="F55" s="9" t="e">
        <f>#REF!</f>
        <v>#REF!</v>
      </c>
      <c r="H55" s="204" t="e">
        <f>IF(F55&lt;Floors!$E$4,Floors!$E$4, "-")</f>
        <v>#REF!</v>
      </c>
      <c r="I55" s="68" t="e">
        <f t="shared" si="4"/>
        <v>#REF!</v>
      </c>
      <c r="J55" s="201" t="e">
        <f>IF(I55="Y",VLOOKUP(B55,#REF!,2,FALSE)*1.1,"N/A ")</f>
        <v>#REF!</v>
      </c>
      <c r="K55" s="201" t="e">
        <f t="shared" si="0"/>
        <v>#REF!</v>
      </c>
      <c r="M55" s="201" t="e">
        <f t="shared" si="5"/>
        <v>#REF!</v>
      </c>
      <c r="N55" s="191" t="e">
        <f t="shared" si="1"/>
        <v>#REF!</v>
      </c>
      <c r="O55" s="189" t="e">
        <f t="shared" si="2"/>
        <v>#REF!</v>
      </c>
      <c r="P55" s="191" t="e">
        <f>IF(M55="n/a",(IF(AND(H55=750000,(F55&gt;750000)), H55-F55, 0)),M55-F55)</f>
        <v>#REF!</v>
      </c>
      <c r="Q55" s="191" t="e">
        <f t="shared" si="6"/>
        <v>#REF!</v>
      </c>
      <c r="R55" s="192" t="e">
        <f t="shared" si="8"/>
        <v>#REF!</v>
      </c>
      <c r="S55" s="191" t="e">
        <f t="shared" si="9"/>
        <v>#REF!</v>
      </c>
      <c r="T55" s="191" t="e">
        <f t="shared" si="10"/>
        <v>#REF!</v>
      </c>
    </row>
    <row r="56" spans="1:20" s="55" customFormat="1" ht="16.5" customHeight="1" x14ac:dyDescent="0.25">
      <c r="A56" s="68">
        <v>3</v>
      </c>
      <c r="B56" s="69" t="s">
        <v>50</v>
      </c>
      <c r="D56" s="198">
        <f>VLOOKUP(B56,'WF Need'!$B$7:$AB$64,27, FALSE)</f>
        <v>34109559.111990288</v>
      </c>
      <c r="E56" s="96">
        <f t="shared" si="3"/>
        <v>1.2730743315257656E-2</v>
      </c>
      <c r="F56" s="9" t="e">
        <f>#REF!</f>
        <v>#REF!</v>
      </c>
      <c r="H56" s="204" t="e">
        <f>IF(F56&lt;Floors!$E$4,Floors!$E$4, "-")</f>
        <v>#REF!</v>
      </c>
      <c r="I56" s="68" t="e">
        <f t="shared" si="4"/>
        <v>#REF!</v>
      </c>
      <c r="J56" s="201" t="e">
        <f>IF(I56="Y",VLOOKUP(B56,#REF!,2,FALSE)*1.1,"N/A ")</f>
        <v>#REF!</v>
      </c>
      <c r="K56" s="201" t="e">
        <f t="shared" si="0"/>
        <v>#REF!</v>
      </c>
      <c r="M56" s="201" t="e">
        <f t="shared" si="5"/>
        <v>#REF!</v>
      </c>
      <c r="N56" s="191" t="e">
        <f t="shared" si="1"/>
        <v>#REF!</v>
      </c>
      <c r="O56" s="189" t="e">
        <f t="shared" si="2"/>
        <v>#REF!</v>
      </c>
      <c r="P56" s="191" t="e">
        <f>IF(M56="n/a",(IF(AND(H56=750000,(F56&gt;750000)), H56-F56, 0)),M56-F56)</f>
        <v>#REF!</v>
      </c>
      <c r="Q56" s="191" t="e">
        <f t="shared" si="6"/>
        <v>#REF!</v>
      </c>
      <c r="R56" s="192" t="e">
        <f t="shared" si="8"/>
        <v>#REF!</v>
      </c>
      <c r="S56" s="191" t="e">
        <f t="shared" si="9"/>
        <v>#REF!</v>
      </c>
      <c r="T56" s="191" t="e">
        <f t="shared" si="10"/>
        <v>#REF!</v>
      </c>
    </row>
    <row r="57" spans="1:20" s="55" customFormat="1" ht="16.5" customHeight="1" x14ac:dyDescent="0.25">
      <c r="A57" s="68">
        <v>2</v>
      </c>
      <c r="B57" s="69" t="s">
        <v>36</v>
      </c>
      <c r="D57" s="198">
        <f>VLOOKUP(B57,'WF Need'!$B$7:$AB$64,27, FALSE)</f>
        <v>8690113.6610422228</v>
      </c>
      <c r="E57" s="96">
        <f t="shared" si="3"/>
        <v>3.2434194190523262E-3</v>
      </c>
      <c r="F57" s="9" t="e">
        <f>#REF!</f>
        <v>#REF!</v>
      </c>
      <c r="H57" s="204" t="e">
        <f>IF(F57&lt;Floors!$E$4,Floors!$E$4, "-")</f>
        <v>#REF!</v>
      </c>
      <c r="I57" s="68" t="e">
        <f t="shared" si="4"/>
        <v>#REF!</v>
      </c>
      <c r="J57" s="201" t="e">
        <f>IF(I57="Y",VLOOKUP(B57,#REF!,2,FALSE)*1.1,"N/A ")</f>
        <v>#REF!</v>
      </c>
      <c r="K57" s="201" t="e">
        <f t="shared" si="0"/>
        <v>#REF!</v>
      </c>
      <c r="M57" s="201" t="e">
        <f t="shared" si="5"/>
        <v>#REF!</v>
      </c>
      <c r="N57" s="191" t="e">
        <f t="shared" si="1"/>
        <v>#REF!</v>
      </c>
      <c r="O57" s="189" t="e">
        <f t="shared" si="2"/>
        <v>#REF!</v>
      </c>
      <c r="P57" s="191" t="e">
        <f t="shared" ref="P57:P64" si="13">IF(M57="n/a",(IF(AND(H57=750000,(F57&gt;750000)), H57-F57, 0)),M57-F57)</f>
        <v>#REF!</v>
      </c>
      <c r="Q57" s="191" t="e">
        <f t="shared" si="6"/>
        <v>#REF!</v>
      </c>
      <c r="R57" s="192" t="e">
        <f t="shared" si="8"/>
        <v>#REF!</v>
      </c>
      <c r="S57" s="191" t="e">
        <f t="shared" si="9"/>
        <v>#REF!</v>
      </c>
      <c r="T57" s="191" t="e">
        <f t="shared" si="10"/>
        <v>#REF!</v>
      </c>
    </row>
    <row r="58" spans="1:20" s="55" customFormat="1" ht="16.5" customHeight="1" x14ac:dyDescent="0.25">
      <c r="A58" s="68">
        <v>2</v>
      </c>
      <c r="B58" s="69" t="s">
        <v>37</v>
      </c>
      <c r="D58" s="198">
        <f>VLOOKUP(B58,'WF Need'!$B$7:$AB$64,27, FALSE)</f>
        <v>6362648.1252815537</v>
      </c>
      <c r="E58" s="96">
        <f t="shared" si="3"/>
        <v>2.3747372348706499E-3</v>
      </c>
      <c r="F58" s="9" t="e">
        <f>#REF!</f>
        <v>#REF!</v>
      </c>
      <c r="H58" s="204" t="e">
        <f>IF(F58&lt;Floors!$E$4,Floors!$E$4, "-")</f>
        <v>#REF!</v>
      </c>
      <c r="I58" s="68" t="e">
        <f t="shared" si="4"/>
        <v>#REF!</v>
      </c>
      <c r="J58" s="201" t="e">
        <f>IF(I58="Y",VLOOKUP(B58,#REF!,2,FALSE)*1.1,"N/A ")</f>
        <v>#REF!</v>
      </c>
      <c r="K58" s="201" t="e">
        <f t="shared" si="0"/>
        <v>#REF!</v>
      </c>
      <c r="M58" s="201" t="e">
        <f t="shared" si="5"/>
        <v>#REF!</v>
      </c>
      <c r="N58" s="191" t="e">
        <f t="shared" si="1"/>
        <v>#REF!</v>
      </c>
      <c r="O58" s="189" t="e">
        <f t="shared" si="2"/>
        <v>#REF!</v>
      </c>
      <c r="P58" s="191" t="e">
        <f t="shared" si="13"/>
        <v>#REF!</v>
      </c>
      <c r="Q58" s="191" t="e">
        <f t="shared" si="6"/>
        <v>#REF!</v>
      </c>
      <c r="R58" s="192" t="e">
        <f t="shared" si="8"/>
        <v>#REF!</v>
      </c>
      <c r="S58" s="191" t="e">
        <f t="shared" si="9"/>
        <v>#REF!</v>
      </c>
      <c r="T58" s="191" t="e">
        <f t="shared" si="10"/>
        <v>#REF!</v>
      </c>
    </row>
    <row r="59" spans="1:20" s="55" customFormat="1" ht="16.5" customHeight="1" x14ac:dyDescent="0.25">
      <c r="A59" s="68">
        <v>1</v>
      </c>
      <c r="B59" s="69" t="s">
        <v>18</v>
      </c>
      <c r="D59" s="198">
        <f>VLOOKUP(B59,'WF Need'!$B$7:$AB$64,27, FALSE)</f>
        <v>1926810.4636085078</v>
      </c>
      <c r="E59" s="96">
        <f t="shared" si="3"/>
        <v>7.1914530905589332E-4</v>
      </c>
      <c r="F59" s="9" t="e">
        <f>#REF!</f>
        <v>#REF!</v>
      </c>
      <c r="H59" s="204" t="e">
        <f>IF(F59&lt;Floors!$E$4,Floors!$E$4, "-")</f>
        <v>#REF!</v>
      </c>
      <c r="I59" s="68" t="e">
        <f t="shared" si="4"/>
        <v>#REF!</v>
      </c>
      <c r="J59" s="201" t="e">
        <f>IF(I59="Y",VLOOKUP(B59,#REF!,2,FALSE)*1.1,"N/A ")</f>
        <v>#REF!</v>
      </c>
      <c r="K59" s="201" t="e">
        <f t="shared" si="0"/>
        <v>#REF!</v>
      </c>
      <c r="M59" s="201" t="e">
        <f t="shared" si="5"/>
        <v>#REF!</v>
      </c>
      <c r="N59" s="191" t="e">
        <f t="shared" si="1"/>
        <v>#REF!</v>
      </c>
      <c r="O59" s="191" t="e">
        <f t="shared" si="2"/>
        <v>#REF!</v>
      </c>
      <c r="P59" s="191" t="e">
        <f t="shared" si="13"/>
        <v>#REF!</v>
      </c>
      <c r="Q59" s="191" t="e">
        <f t="shared" si="6"/>
        <v>#REF!</v>
      </c>
      <c r="R59" s="192" t="e">
        <f t="shared" si="8"/>
        <v>#REF!</v>
      </c>
      <c r="S59" s="191" t="e">
        <f t="shared" si="9"/>
        <v>#REF!</v>
      </c>
      <c r="T59" s="191" t="e">
        <f t="shared" si="10"/>
        <v>#REF!</v>
      </c>
    </row>
    <row r="60" spans="1:20" s="55" customFormat="1" ht="16.5" customHeight="1" x14ac:dyDescent="0.25">
      <c r="A60" s="68">
        <v>3</v>
      </c>
      <c r="B60" s="69" t="s">
        <v>51</v>
      </c>
      <c r="D60" s="198">
        <f>VLOOKUP(B60,'WF Need'!$B$7:$AB$64,27, FALSE)</f>
        <v>33983657.826099403</v>
      </c>
      <c r="E60" s="96">
        <f t="shared" si="3"/>
        <v>1.2683753058113749E-2</v>
      </c>
      <c r="F60" s="9" t="e">
        <f>#REF!</f>
        <v>#REF!</v>
      </c>
      <c r="H60" s="204" t="e">
        <f>IF(F60&lt;Floors!$E$4,Floors!$E$4, "-")</f>
        <v>#REF!</v>
      </c>
      <c r="I60" s="68" t="e">
        <f t="shared" si="4"/>
        <v>#REF!</v>
      </c>
      <c r="J60" s="201" t="e">
        <f>IF(I60="Y",VLOOKUP(B60,#REF!,2,FALSE)*1.1,"N/A ")</f>
        <v>#REF!</v>
      </c>
      <c r="K60" s="201" t="e">
        <f t="shared" si="0"/>
        <v>#REF!</v>
      </c>
      <c r="M60" s="201" t="e">
        <f t="shared" si="5"/>
        <v>#REF!</v>
      </c>
      <c r="N60" s="191" t="e">
        <f t="shared" si="1"/>
        <v>#REF!</v>
      </c>
      <c r="O60" s="189" t="e">
        <f t="shared" si="2"/>
        <v>#REF!</v>
      </c>
      <c r="P60" s="191" t="e">
        <f t="shared" si="13"/>
        <v>#REF!</v>
      </c>
      <c r="Q60" s="191" t="e">
        <f t="shared" si="6"/>
        <v>#REF!</v>
      </c>
      <c r="R60" s="192" t="e">
        <f t="shared" si="8"/>
        <v>#REF!</v>
      </c>
      <c r="S60" s="191" t="e">
        <f t="shared" si="9"/>
        <v>#REF!</v>
      </c>
      <c r="T60" s="191" t="e">
        <f t="shared" si="10"/>
        <v>#REF!</v>
      </c>
    </row>
    <row r="61" spans="1:20" s="55" customFormat="1" ht="16.5" customHeight="1" x14ac:dyDescent="0.25">
      <c r="A61" s="68">
        <v>2</v>
      </c>
      <c r="B61" s="69" t="s">
        <v>38</v>
      </c>
      <c r="D61" s="198">
        <f>VLOOKUP(B61,'WF Need'!$B$7:$AB$64,27, FALSE)</f>
        <v>5065303.3962383522</v>
      </c>
      <c r="E61" s="96">
        <f t="shared" si="3"/>
        <v>1.8905280229419715E-3</v>
      </c>
      <c r="F61" s="9" t="e">
        <f>#REF!</f>
        <v>#REF!</v>
      </c>
      <c r="H61" s="204" t="e">
        <f>IF(F61&lt;Floors!$E$4,Floors!$E$4, "-")</f>
        <v>#REF!</v>
      </c>
      <c r="I61" s="68" t="e">
        <f t="shared" si="4"/>
        <v>#REF!</v>
      </c>
      <c r="J61" s="201" t="e">
        <f>IF(I61="Y",VLOOKUP(B61,#REF!,2,FALSE)*1.1,"N/A ")</f>
        <v>#REF!</v>
      </c>
      <c r="K61" s="201" t="e">
        <f t="shared" si="0"/>
        <v>#REF!</v>
      </c>
      <c r="M61" s="201" t="e">
        <f t="shared" si="5"/>
        <v>#REF!</v>
      </c>
      <c r="N61" s="191" t="e">
        <f t="shared" si="1"/>
        <v>#REF!</v>
      </c>
      <c r="O61" s="189" t="e">
        <f t="shared" si="2"/>
        <v>#REF!</v>
      </c>
      <c r="P61" s="191" t="e">
        <f t="shared" si="13"/>
        <v>#REF!</v>
      </c>
      <c r="Q61" s="191" t="e">
        <f t="shared" si="6"/>
        <v>#REF!</v>
      </c>
      <c r="R61" s="192" t="e">
        <f t="shared" si="8"/>
        <v>#REF!</v>
      </c>
      <c r="S61" s="191" t="e">
        <f t="shared" si="9"/>
        <v>#REF!</v>
      </c>
      <c r="T61" s="191" t="e">
        <f t="shared" si="10"/>
        <v>#REF!</v>
      </c>
    </row>
    <row r="62" spans="1:20" s="55" customFormat="1" ht="16.5" customHeight="1" x14ac:dyDescent="0.25">
      <c r="A62" s="68">
        <v>3</v>
      </c>
      <c r="B62" s="69" t="s">
        <v>52</v>
      </c>
      <c r="D62" s="198">
        <f>VLOOKUP(B62,'WF Need'!$B$7:$AB$64,27, FALSE)</f>
        <v>47700001.940085933</v>
      </c>
      <c r="E62" s="96">
        <f t="shared" si="3"/>
        <v>1.7803117268175468E-2</v>
      </c>
      <c r="F62" s="9" t="e">
        <f>#REF!</f>
        <v>#REF!</v>
      </c>
      <c r="H62" s="204" t="e">
        <f>IF(F62&lt;Floors!$E$4,Floors!$E$4, "-")</f>
        <v>#REF!</v>
      </c>
      <c r="I62" s="68" t="e">
        <f t="shared" si="4"/>
        <v>#REF!</v>
      </c>
      <c r="J62" s="201" t="e">
        <f>IF(I62="Y",VLOOKUP(B62,#REF!,2,FALSE)*1.1,"N/A ")</f>
        <v>#REF!</v>
      </c>
      <c r="K62" s="201" t="e">
        <f t="shared" si="0"/>
        <v>#REF!</v>
      </c>
      <c r="M62" s="201" t="e">
        <f t="shared" si="5"/>
        <v>#REF!</v>
      </c>
      <c r="N62" s="191" t="e">
        <f t="shared" si="1"/>
        <v>#REF!</v>
      </c>
      <c r="O62" s="189" t="e">
        <f t="shared" si="2"/>
        <v>#REF!</v>
      </c>
      <c r="P62" s="191" t="e">
        <f t="shared" si="13"/>
        <v>#REF!</v>
      </c>
      <c r="Q62" s="191" t="e">
        <f t="shared" si="6"/>
        <v>#REF!</v>
      </c>
      <c r="R62" s="192" t="e">
        <f t="shared" si="8"/>
        <v>#REF!</v>
      </c>
      <c r="S62" s="191" t="e">
        <f t="shared" si="9"/>
        <v>#REF!</v>
      </c>
      <c r="T62" s="191" t="e">
        <f t="shared" si="10"/>
        <v>#REF!</v>
      </c>
    </row>
    <row r="63" spans="1:20" s="55" customFormat="1" ht="16.5" customHeight="1" x14ac:dyDescent="0.25">
      <c r="A63" s="68">
        <v>2</v>
      </c>
      <c r="B63" s="69" t="s">
        <v>39</v>
      </c>
      <c r="D63" s="198">
        <f>VLOOKUP(B63,'WF Need'!$B$7:$AB$64,27, FALSE)</f>
        <v>16635552.585075151</v>
      </c>
      <c r="E63" s="96">
        <f t="shared" si="3"/>
        <v>6.2089031749934338E-3</v>
      </c>
      <c r="F63" s="9" t="e">
        <f>#REF!</f>
        <v>#REF!</v>
      </c>
      <c r="H63" s="204" t="e">
        <f>IF(F63&lt;Floors!$E$4,Floors!$E$4, "-")</f>
        <v>#REF!</v>
      </c>
      <c r="I63" s="68" t="e">
        <f t="shared" si="4"/>
        <v>#REF!</v>
      </c>
      <c r="J63" s="201" t="e">
        <f>IF(I63="Y",VLOOKUP(B63,#REF!,2,FALSE)*1.1,"N/A ")</f>
        <v>#REF!</v>
      </c>
      <c r="K63" s="201" t="e">
        <f t="shared" si="0"/>
        <v>#REF!</v>
      </c>
      <c r="M63" s="201" t="e">
        <f t="shared" si="5"/>
        <v>#REF!</v>
      </c>
      <c r="N63" s="191" t="e">
        <f t="shared" si="1"/>
        <v>#REF!</v>
      </c>
      <c r="O63" s="189" t="e">
        <f t="shared" si="2"/>
        <v>#REF!</v>
      </c>
      <c r="P63" s="191" t="e">
        <f t="shared" si="13"/>
        <v>#REF!</v>
      </c>
      <c r="Q63" s="191" t="e">
        <f t="shared" si="6"/>
        <v>#REF!</v>
      </c>
      <c r="R63" s="192" t="e">
        <f t="shared" si="8"/>
        <v>#REF!</v>
      </c>
      <c r="S63" s="191" t="e">
        <f t="shared" si="9"/>
        <v>#REF!</v>
      </c>
      <c r="T63" s="191" t="e">
        <f t="shared" si="10"/>
        <v>#REF!</v>
      </c>
    </row>
    <row r="64" spans="1:20" s="55" customFormat="1" ht="16.5" customHeight="1" x14ac:dyDescent="0.25">
      <c r="A64" s="68">
        <v>2</v>
      </c>
      <c r="B64" s="69" t="s">
        <v>40</v>
      </c>
      <c r="D64" s="198">
        <f>VLOOKUP(B64,'WF Need'!$B$7:$AB$64,27, FALSE)</f>
        <v>5301564.6721998379</v>
      </c>
      <c r="E64" s="96">
        <f t="shared" si="3"/>
        <v>1.9787080445519143E-3</v>
      </c>
      <c r="F64" s="9" t="e">
        <f>#REF!</f>
        <v>#REF!</v>
      </c>
      <c r="H64" s="204" t="e">
        <f>IF(F64&lt;Floors!$E$4,Floors!$E$4, "-")</f>
        <v>#REF!</v>
      </c>
      <c r="I64" s="68" t="e">
        <f t="shared" si="4"/>
        <v>#REF!</v>
      </c>
      <c r="J64" s="201" t="e">
        <f>IF(I64="Y",VLOOKUP(B64,#REF!,2,FALSE)*1.1,"N/A ")</f>
        <v>#REF!</v>
      </c>
      <c r="K64" s="201" t="e">
        <f t="shared" si="0"/>
        <v>#REF!</v>
      </c>
      <c r="M64" s="201" t="e">
        <f t="shared" si="5"/>
        <v>#REF!</v>
      </c>
      <c r="N64" s="191" t="e">
        <f t="shared" si="1"/>
        <v>#REF!</v>
      </c>
      <c r="O64" s="189" t="e">
        <f t="shared" si="2"/>
        <v>#REF!</v>
      </c>
      <c r="P64" s="191" t="e">
        <f t="shared" si="13"/>
        <v>#REF!</v>
      </c>
      <c r="Q64" s="191" t="e">
        <f t="shared" si="6"/>
        <v>#REF!</v>
      </c>
      <c r="R64" s="192" t="e">
        <f t="shared" si="8"/>
        <v>#REF!</v>
      </c>
      <c r="S64" s="191" t="e">
        <f t="shared" si="9"/>
        <v>#REF!</v>
      </c>
      <c r="T64" s="191" t="e">
        <f t="shared" si="10"/>
        <v>#REF!</v>
      </c>
    </row>
    <row r="65" spans="1:22" ht="16.5" customHeight="1" thickBot="1" x14ac:dyDescent="0.3">
      <c r="B65" s="102" t="s">
        <v>62</v>
      </c>
      <c r="C65" s="55"/>
      <c r="D65" s="205">
        <f>SUM(D7:D64)</f>
        <v>2679306169.9005709</v>
      </c>
      <c r="E65" s="199">
        <f>SUM(E7:E64)</f>
        <v>1.0000000000000002</v>
      </c>
      <c r="F65" s="206" t="e">
        <f>SUM(F7:F64)</f>
        <v>#REF!</v>
      </c>
      <c r="G65" s="55"/>
      <c r="H65" s="180"/>
      <c r="I65" s="180"/>
      <c r="J65" s="183"/>
      <c r="K65" s="183"/>
      <c r="L65" s="55"/>
      <c r="M65" s="206" t="e">
        <f t="shared" ref="M65" si="14">SUM(M7:M64)</f>
        <v>#REF!</v>
      </c>
      <c r="N65" s="189"/>
      <c r="O65" s="189"/>
      <c r="P65" s="194" t="e">
        <f t="shared" ref="P65:S65" si="15">SUM(P7:P64)</f>
        <v>#REF!</v>
      </c>
      <c r="Q65" s="194" t="e">
        <f t="shared" si="15"/>
        <v>#REF!</v>
      </c>
      <c r="R65" s="195" t="e">
        <f>SUM(R7:R64)</f>
        <v>#REF!</v>
      </c>
      <c r="S65" s="194" t="e">
        <f t="shared" si="15"/>
        <v>#REF!</v>
      </c>
      <c r="T65" s="194" t="e">
        <f t="shared" ref="T65" si="16">SUM(T7:T64)</f>
        <v>#REF!</v>
      </c>
    </row>
    <row r="66" spans="1:22" ht="15.75" thickTop="1" x14ac:dyDescent="0.25">
      <c r="C66" s="55"/>
      <c r="D66" s="196"/>
      <c r="F66" s="60"/>
      <c r="G66" s="55"/>
      <c r="H66" s="180"/>
      <c r="I66" s="180"/>
      <c r="L66" s="55"/>
      <c r="N66" s="189"/>
      <c r="O66" s="189"/>
      <c r="P66" s="189"/>
      <c r="Q66" s="189"/>
      <c r="R66" s="189"/>
      <c r="S66" s="189"/>
      <c r="T66" s="189"/>
    </row>
    <row r="67" spans="1:22" ht="15" customHeight="1" x14ac:dyDescent="0.25">
      <c r="B67" s="200" t="s">
        <v>190</v>
      </c>
      <c r="C67" s="55"/>
      <c r="D67" s="197"/>
      <c r="G67" s="55"/>
      <c r="H67" s="180"/>
      <c r="I67" s="180"/>
      <c r="K67" s="55"/>
      <c r="L67" s="55"/>
      <c r="M67" s="88"/>
      <c r="N67" s="189"/>
      <c r="O67" s="189"/>
      <c r="P67" s="354" t="s">
        <v>108</v>
      </c>
      <c r="Q67" s="354"/>
      <c r="R67" s="354"/>
      <c r="S67" s="354"/>
      <c r="T67" s="354"/>
      <c r="U67" s="181"/>
      <c r="V67" s="181"/>
    </row>
    <row r="68" spans="1:22" x14ac:dyDescent="0.25">
      <c r="C68" s="55"/>
      <c r="D68" s="196"/>
      <c r="F68" s="60"/>
      <c r="G68" s="55"/>
      <c r="H68" s="180"/>
      <c r="I68" s="180"/>
      <c r="L68" s="55"/>
      <c r="N68" s="189"/>
      <c r="O68" s="189"/>
      <c r="P68" s="354"/>
      <c r="Q68" s="354"/>
      <c r="R68" s="354"/>
      <c r="S68" s="354"/>
      <c r="T68" s="354"/>
      <c r="U68" s="181"/>
      <c r="V68" s="181"/>
    </row>
    <row r="69" spans="1:22" x14ac:dyDescent="0.25">
      <c r="C69" s="55"/>
      <c r="D69" s="196"/>
      <c r="F69" s="60"/>
      <c r="G69" s="55"/>
      <c r="H69" s="180"/>
      <c r="I69" s="180"/>
      <c r="L69" s="55"/>
      <c r="N69" s="189"/>
      <c r="O69" s="189"/>
      <c r="P69" s="354"/>
      <c r="Q69" s="354"/>
      <c r="R69" s="354"/>
      <c r="S69" s="354"/>
      <c r="T69" s="354"/>
    </row>
    <row r="70" spans="1:22" x14ac:dyDescent="0.25">
      <c r="C70" s="55"/>
      <c r="D70" s="196"/>
      <c r="F70" s="60"/>
      <c r="G70" s="55"/>
      <c r="H70" s="180"/>
      <c r="I70" s="180"/>
      <c r="L70" s="55"/>
      <c r="P70" s="181"/>
      <c r="Q70" s="181"/>
      <c r="R70" s="181"/>
      <c r="S70" s="181"/>
      <c r="T70" s="181"/>
    </row>
    <row r="71" spans="1:22" x14ac:dyDescent="0.25">
      <c r="C71" s="55"/>
      <c r="D71" s="196"/>
      <c r="F71" s="60"/>
      <c r="G71" s="55"/>
      <c r="H71" s="180"/>
      <c r="I71" s="180"/>
      <c r="L71" s="55"/>
    </row>
    <row r="72" spans="1:22" x14ac:dyDescent="0.25">
      <c r="D72" s="196"/>
      <c r="F72" s="60"/>
      <c r="H72" s="180"/>
      <c r="I72" s="180"/>
    </row>
    <row r="73" spans="1:22" x14ac:dyDescent="0.25">
      <c r="D73" s="196"/>
      <c r="F73" s="60"/>
      <c r="H73" s="180"/>
      <c r="I73" s="180"/>
    </row>
    <row r="74" spans="1:22" s="55" customFormat="1" x14ac:dyDescent="0.25">
      <c r="A74" s="180"/>
      <c r="C74" s="64"/>
      <c r="E74" s="59"/>
      <c r="F74" s="182"/>
      <c r="G74" s="64"/>
      <c r="H74" s="182"/>
      <c r="I74" s="182"/>
      <c r="J74" s="180"/>
      <c r="K74" s="180"/>
      <c r="L74" s="64"/>
      <c r="M74" s="182"/>
      <c r="P74" s="180"/>
      <c r="Q74" s="180"/>
      <c r="R74" s="180"/>
      <c r="S74" s="180"/>
      <c r="T74" s="180"/>
    </row>
    <row r="75" spans="1:22" x14ac:dyDescent="0.25">
      <c r="P75" s="55"/>
      <c r="Q75" s="55"/>
      <c r="R75" s="55"/>
      <c r="S75" s="55"/>
      <c r="T75" s="55"/>
    </row>
  </sheetData>
  <autoFilter ref="I1:I74"/>
  <mergeCells count="7">
    <mergeCell ref="D4:E4"/>
    <mergeCell ref="A4:B4"/>
    <mergeCell ref="A5:A6"/>
    <mergeCell ref="B5:B6"/>
    <mergeCell ref="P67:T69"/>
    <mergeCell ref="N4:S4"/>
    <mergeCell ref="H4:K4"/>
  </mergeCells>
  <conditionalFormatting sqref="I1:I3 I65:I1048576">
    <cfRule type="cellIs" dxfId="0" priority="1" operator="equal">
      <formula>"Y"</formula>
    </cfRule>
  </conditionalFormatting>
  <printOptions horizontalCentered="1"/>
  <pageMargins left="0.25" right="0.25" top="0.5" bottom="0.25" header="0.3" footer="0.3"/>
  <pageSetup scale="61" orientation="portrait" r:id="rId1"/>
  <rowBreaks count="1" manualBreakCount="1">
    <brk id="35" max="16"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E4"/>
  <sheetViews>
    <sheetView zoomScaleNormal="100" zoomScaleSheetLayoutView="100" workbookViewId="0">
      <pane xSplit="1" ySplit="3" topLeftCell="B4" activePane="bottomRight" state="frozen"/>
      <selection pane="topRight" activeCell="B1" sqref="B1"/>
      <selection pane="bottomLeft" activeCell="A6" sqref="A6"/>
      <selection pane="bottomRight" activeCell="A4" sqref="A4"/>
    </sheetView>
  </sheetViews>
  <sheetFormatPr defaultColWidth="9.140625" defaultRowHeight="15" x14ac:dyDescent="0.25"/>
  <cols>
    <col min="1" max="1" width="29.42578125" style="180" customWidth="1"/>
    <col min="2" max="7" width="16.140625" style="180" customWidth="1"/>
    <col min="8" max="16384" width="9.140625" style="180"/>
  </cols>
  <sheetData>
    <row r="1" spans="1:5" ht="20.100000000000001" customHeight="1" x14ac:dyDescent="0.25">
      <c r="A1" s="184" t="s">
        <v>185</v>
      </c>
    </row>
    <row r="2" spans="1:5" ht="20.100000000000001" customHeight="1" x14ac:dyDescent="0.25">
      <c r="A2" s="186" t="s">
        <v>203</v>
      </c>
    </row>
    <row r="3" spans="1:5" ht="20.100000000000001" customHeight="1" x14ac:dyDescent="0.25"/>
    <row r="4" spans="1:5" x14ac:dyDescent="0.25">
      <c r="A4" s="180" t="s">
        <v>205</v>
      </c>
      <c r="E4" s="182">
        <v>800000</v>
      </c>
    </row>
  </sheetData>
  <printOptions horizontalCentered="1"/>
  <pageMargins left="0.75" right="0.75" top="0.75" bottom="0.75" header="0.3" footer="0.3"/>
  <pageSetup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P62"/>
  <sheetViews>
    <sheetView workbookViewId="0">
      <selection activeCell="J17" sqref="J17"/>
    </sheetView>
  </sheetViews>
  <sheetFormatPr defaultColWidth="9.140625" defaultRowHeight="15.75" x14ac:dyDescent="0.25"/>
  <cols>
    <col min="1" max="1" width="5.85546875" style="8" customWidth="1"/>
    <col min="2" max="2" width="15.42578125" style="20" bestFit="1" customWidth="1"/>
    <col min="3" max="3" width="13.85546875" style="8" customWidth="1"/>
    <col min="4" max="4" width="14.5703125" style="8" bestFit="1" customWidth="1"/>
    <col min="5" max="5" width="13.140625" style="8" bestFit="1" customWidth="1"/>
    <col min="6" max="6" width="13.42578125" style="8" bestFit="1" customWidth="1"/>
    <col min="7" max="7" width="5.85546875" style="8" customWidth="1"/>
    <col min="8" max="8" width="20.85546875" style="8" bestFit="1" customWidth="1"/>
    <col min="9" max="9" width="14.5703125" style="8" bestFit="1" customWidth="1"/>
    <col min="10" max="10" width="14.140625" style="8" bestFit="1" customWidth="1"/>
    <col min="11" max="11" width="13.42578125" style="8" bestFit="1" customWidth="1"/>
    <col min="12" max="12" width="5.85546875" style="8" customWidth="1"/>
    <col min="13" max="13" width="13.42578125" style="8" bestFit="1" customWidth="1"/>
    <col min="14" max="14" width="12.5703125" style="8" customWidth="1"/>
    <col min="15" max="15" width="18.140625" style="8" bestFit="1" customWidth="1"/>
    <col min="16" max="16" width="10.140625" style="8" customWidth="1"/>
    <col min="17" max="16384" width="9.140625" style="8"/>
  </cols>
  <sheetData>
    <row r="1" spans="2:16" ht="19.5" thickBot="1" x14ac:dyDescent="0.3">
      <c r="B1" s="17"/>
    </row>
    <row r="2" spans="2:16" s="15" customFormat="1" ht="61.5" customHeight="1" x14ac:dyDescent="0.25">
      <c r="B2" s="28" t="s">
        <v>63</v>
      </c>
      <c r="C2" s="29" t="s">
        <v>247</v>
      </c>
      <c r="D2" s="29" t="s">
        <v>246</v>
      </c>
      <c r="E2" s="29" t="s">
        <v>101</v>
      </c>
      <c r="F2" s="30" t="s">
        <v>102</v>
      </c>
      <c r="G2" s="16"/>
      <c r="H2" s="35" t="s">
        <v>248</v>
      </c>
      <c r="I2" s="29" t="s">
        <v>249</v>
      </c>
      <c r="J2" s="29" t="s">
        <v>103</v>
      </c>
      <c r="K2" s="30" t="s">
        <v>102</v>
      </c>
      <c r="M2" s="35" t="s">
        <v>104</v>
      </c>
      <c r="N2" s="29" t="s">
        <v>106</v>
      </c>
      <c r="O2" s="29" t="s">
        <v>105</v>
      </c>
      <c r="P2" s="30" t="s">
        <v>106</v>
      </c>
    </row>
    <row r="3" spans="2:16" ht="15" x14ac:dyDescent="0.25">
      <c r="B3" s="18" t="s">
        <v>53</v>
      </c>
      <c r="C3" s="22">
        <v>82853797</v>
      </c>
      <c r="D3" s="22">
        <v>91263263.98601386</v>
      </c>
      <c r="E3" s="14">
        <f>C3/D3</f>
        <v>0.90785485179115866</v>
      </c>
      <c r="F3" s="23" t="e">
        <f>VLOOKUP(B3,#REF!,5)</f>
        <v>#REF!</v>
      </c>
      <c r="H3" s="31" t="e">
        <f>VLOOKUP(B3,#REF!,4)</f>
        <v>#REF!</v>
      </c>
      <c r="I3" s="22">
        <f>'WF Need'!AB7</f>
        <v>88721291.9274638</v>
      </c>
      <c r="J3" s="14" t="e">
        <f>VLOOKUP(B3,#REF!,6)</f>
        <v>#REF!</v>
      </c>
      <c r="K3" s="23" t="e">
        <f>VLOOKUP(B3,#REF!,7)</f>
        <v>#REF!</v>
      </c>
      <c r="M3" s="31" t="e">
        <f>H3-C3</f>
        <v>#REF!</v>
      </c>
      <c r="N3" s="36" t="e">
        <f>M3/C3</f>
        <v>#REF!</v>
      </c>
      <c r="O3" s="22">
        <f t="shared" ref="O3:O34" si="0">I3-D3</f>
        <v>-2541972.0585500598</v>
      </c>
      <c r="P3" s="37">
        <f t="shared" ref="P3:P34" si="1">O3/D3</f>
        <v>-2.7853179335549715E-2</v>
      </c>
    </row>
    <row r="4" spans="2:16" ht="15" x14ac:dyDescent="0.25">
      <c r="B4" s="18" t="s">
        <v>4</v>
      </c>
      <c r="C4" s="22">
        <v>800000</v>
      </c>
      <c r="D4" s="22">
        <v>436233.26812475082</v>
      </c>
      <c r="E4" s="14">
        <f t="shared" ref="E4:E61" si="2">C4/D4</f>
        <v>1.8338812246919733</v>
      </c>
      <c r="F4" s="23" t="e">
        <f>VLOOKUP(B4,#REF!,5)</f>
        <v>#REF!</v>
      </c>
      <c r="H4" s="31" t="e">
        <f>VLOOKUP(B4,#REF!,4)</f>
        <v>#REF!</v>
      </c>
      <c r="I4" s="22">
        <f>'WF Need'!AB8</f>
        <v>449771.56804500439</v>
      </c>
      <c r="J4" s="14" t="e">
        <f>VLOOKUP(B4,#REF!,6)</f>
        <v>#REF!</v>
      </c>
      <c r="K4" s="23" t="e">
        <f>VLOOKUP(B4,#REF!,7)</f>
        <v>#REF!</v>
      </c>
      <c r="M4" s="31" t="e">
        <f t="shared" ref="M4:M34" si="3">H4-C4</f>
        <v>#REF!</v>
      </c>
      <c r="N4" s="36" t="e">
        <f t="shared" ref="N4:N34" si="4">M4/C4</f>
        <v>#REF!</v>
      </c>
      <c r="O4" s="22">
        <f t="shared" si="0"/>
        <v>13538.299920253572</v>
      </c>
      <c r="P4" s="37">
        <f t="shared" si="1"/>
        <v>3.1034542547502333E-2</v>
      </c>
    </row>
    <row r="5" spans="2:16" ht="15" x14ac:dyDescent="0.25">
      <c r="B5" s="18" t="s">
        <v>5</v>
      </c>
      <c r="C5" s="22">
        <v>3811969</v>
      </c>
      <c r="D5" s="22">
        <v>4104927.0630412395</v>
      </c>
      <c r="E5" s="14">
        <f t="shared" si="2"/>
        <v>0.92863257774324637</v>
      </c>
      <c r="F5" s="23" t="e">
        <f>VLOOKUP(B5,#REF!,5)</f>
        <v>#REF!</v>
      </c>
      <c r="H5" s="31" t="e">
        <f>VLOOKUP(B5,#REF!,4)</f>
        <v>#REF!</v>
      </c>
      <c r="I5" s="22">
        <f>'WF Need'!AB9</f>
        <v>3977456.0731330076</v>
      </c>
      <c r="J5" s="14" t="e">
        <f>VLOOKUP(B5,#REF!,6)</f>
        <v>#REF!</v>
      </c>
      <c r="K5" s="23" t="e">
        <f>VLOOKUP(B5,#REF!,7)</f>
        <v>#REF!</v>
      </c>
      <c r="M5" s="31" t="e">
        <f t="shared" si="3"/>
        <v>#REF!</v>
      </c>
      <c r="N5" s="36" t="e">
        <f t="shared" si="4"/>
        <v>#REF!</v>
      </c>
      <c r="O5" s="22">
        <f t="shared" si="0"/>
        <v>-127470.98990823189</v>
      </c>
      <c r="P5" s="37">
        <f t="shared" si="1"/>
        <v>-3.105316804674034E-2</v>
      </c>
    </row>
    <row r="6" spans="2:16" ht="15" x14ac:dyDescent="0.25">
      <c r="B6" s="18" t="s">
        <v>19</v>
      </c>
      <c r="C6" s="22">
        <v>13174722.049999999</v>
      </c>
      <c r="D6" s="22">
        <v>15499672.570690038</v>
      </c>
      <c r="E6" s="14">
        <f t="shared" si="2"/>
        <v>0.85000002354330162</v>
      </c>
      <c r="F6" s="23" t="e">
        <f>VLOOKUP(B6,#REF!,5)</f>
        <v>#REF!</v>
      </c>
      <c r="H6" s="31" t="e">
        <f>VLOOKUP(B6,#REF!,4)</f>
        <v>#REF!</v>
      </c>
      <c r="I6" s="22">
        <f>'WF Need'!AB10</f>
        <v>14791476.663493136</v>
      </c>
      <c r="J6" s="14" t="e">
        <f>VLOOKUP(B6,#REF!,6)</f>
        <v>#REF!</v>
      </c>
      <c r="K6" s="23" t="e">
        <f>VLOOKUP(B6,#REF!,7)</f>
        <v>#REF!</v>
      </c>
      <c r="M6" s="31" t="e">
        <f t="shared" si="3"/>
        <v>#REF!</v>
      </c>
      <c r="N6" s="36" t="e">
        <f t="shared" si="4"/>
        <v>#REF!</v>
      </c>
      <c r="O6" s="22">
        <f t="shared" si="0"/>
        <v>-708195.90719690174</v>
      </c>
      <c r="P6" s="37">
        <f t="shared" si="1"/>
        <v>-4.5691023727565956E-2</v>
      </c>
    </row>
    <row r="7" spans="2:16" ht="15" x14ac:dyDescent="0.25">
      <c r="B7" s="18" t="s">
        <v>6</v>
      </c>
      <c r="C7" s="22">
        <v>3113405</v>
      </c>
      <c r="D7" s="22">
        <v>3034382.6469259844</v>
      </c>
      <c r="E7" s="14">
        <f t="shared" si="2"/>
        <v>1.0260423164343067</v>
      </c>
      <c r="F7" s="23" t="e">
        <f>VLOOKUP(B7,#REF!,5)</f>
        <v>#REF!</v>
      </c>
      <c r="H7" s="31" t="e">
        <f>VLOOKUP(B7,#REF!,4)</f>
        <v>#REF!</v>
      </c>
      <c r="I7" s="22">
        <f>'WF Need'!AB11</f>
        <v>3287844.80498116</v>
      </c>
      <c r="J7" s="14" t="e">
        <f>VLOOKUP(B7,#REF!,6)</f>
        <v>#REF!</v>
      </c>
      <c r="K7" s="23" t="e">
        <f>VLOOKUP(B7,#REF!,7)</f>
        <v>#REF!</v>
      </c>
      <c r="M7" s="31" t="e">
        <f t="shared" si="3"/>
        <v>#REF!</v>
      </c>
      <c r="N7" s="36" t="e">
        <f t="shared" si="4"/>
        <v>#REF!</v>
      </c>
      <c r="O7" s="22">
        <f t="shared" si="0"/>
        <v>253462.15805517556</v>
      </c>
      <c r="P7" s="37">
        <f t="shared" si="1"/>
        <v>8.3530057856067777E-2</v>
      </c>
    </row>
    <row r="8" spans="2:16" ht="15" x14ac:dyDescent="0.25">
      <c r="B8" s="18" t="s">
        <v>7</v>
      </c>
      <c r="C8" s="22">
        <v>2371498</v>
      </c>
      <c r="D8" s="22">
        <v>2415621.0665193587</v>
      </c>
      <c r="E8" s="14">
        <f t="shared" si="2"/>
        <v>0.9817342764844591</v>
      </c>
      <c r="F8" s="23" t="e">
        <f>VLOOKUP(B8,#REF!,5)</f>
        <v>#REF!</v>
      </c>
      <c r="H8" s="31" t="e">
        <f>VLOOKUP(B8,#REF!,4)</f>
        <v>#REF!</v>
      </c>
      <c r="I8" s="22">
        <f>'WF Need'!AB12</f>
        <v>2241284.5664352747</v>
      </c>
      <c r="J8" s="14" t="e">
        <f>VLOOKUP(B8,#REF!,6)</f>
        <v>#REF!</v>
      </c>
      <c r="K8" s="23" t="e">
        <f>VLOOKUP(B8,#REF!,7)</f>
        <v>#REF!</v>
      </c>
      <c r="M8" s="31" t="e">
        <f t="shared" si="3"/>
        <v>#REF!</v>
      </c>
      <c r="N8" s="36" t="e">
        <f t="shared" si="4"/>
        <v>#REF!</v>
      </c>
      <c r="O8" s="22">
        <f t="shared" si="0"/>
        <v>-174336.50008408399</v>
      </c>
      <c r="P8" s="37">
        <f t="shared" si="1"/>
        <v>-7.2170466842004941E-2</v>
      </c>
    </row>
    <row r="9" spans="2:16" ht="15" x14ac:dyDescent="0.25">
      <c r="B9" s="18" t="s">
        <v>41</v>
      </c>
      <c r="C9" s="22">
        <v>50690205.600000001</v>
      </c>
      <c r="D9" s="22">
        <v>59635536.461442783</v>
      </c>
      <c r="E9" s="14">
        <f t="shared" si="2"/>
        <v>0.8499999934229423</v>
      </c>
      <c r="F9" s="23" t="e">
        <f>VLOOKUP(B9,#REF!,5)</f>
        <v>#REF!</v>
      </c>
      <c r="H9" s="31" t="e">
        <f>VLOOKUP(B9,#REF!,4)</f>
        <v>#REF!</v>
      </c>
      <c r="I9" s="22">
        <f>'WF Need'!AB13</f>
        <v>57057062.163840853</v>
      </c>
      <c r="J9" s="14" t="e">
        <f>VLOOKUP(B9,#REF!,6)</f>
        <v>#REF!</v>
      </c>
      <c r="K9" s="23" t="e">
        <f>VLOOKUP(B9,#REF!,7)</f>
        <v>#REF!</v>
      </c>
      <c r="M9" s="31" t="e">
        <f t="shared" si="3"/>
        <v>#REF!</v>
      </c>
      <c r="N9" s="36" t="e">
        <f t="shared" si="4"/>
        <v>#REF!</v>
      </c>
      <c r="O9" s="22">
        <f t="shared" si="0"/>
        <v>-2578474.2976019308</v>
      </c>
      <c r="P9" s="37">
        <f t="shared" si="1"/>
        <v>-4.3237211411169874E-2</v>
      </c>
    </row>
    <row r="10" spans="2:16" ht="15" x14ac:dyDescent="0.25">
      <c r="B10" s="18" t="s">
        <v>8</v>
      </c>
      <c r="C10" s="22">
        <v>3488058</v>
      </c>
      <c r="D10" s="22">
        <v>3448590.8234421331</v>
      </c>
      <c r="E10" s="14">
        <f t="shared" si="2"/>
        <v>1.0114444358807617</v>
      </c>
      <c r="F10" s="23" t="e">
        <f>VLOOKUP(B10,#REF!,5)</f>
        <v>#REF!</v>
      </c>
      <c r="H10" s="31" t="e">
        <f>VLOOKUP(B10,#REF!,4)</f>
        <v>#REF!</v>
      </c>
      <c r="I10" s="22">
        <f>'WF Need'!AB14</f>
        <v>3721890.5036162646</v>
      </c>
      <c r="J10" s="14" t="e">
        <f>VLOOKUP(B10,#REF!,6)</f>
        <v>#REF!</v>
      </c>
      <c r="K10" s="23" t="e">
        <f>VLOOKUP(B10,#REF!,7)</f>
        <v>#REF!</v>
      </c>
      <c r="M10" s="31" t="e">
        <f t="shared" si="3"/>
        <v>#REF!</v>
      </c>
      <c r="N10" s="36" t="e">
        <f t="shared" si="4"/>
        <v>#REF!</v>
      </c>
      <c r="O10" s="22">
        <f t="shared" si="0"/>
        <v>273299.68017413141</v>
      </c>
      <c r="P10" s="37">
        <f t="shared" si="1"/>
        <v>7.924966868100157E-2</v>
      </c>
    </row>
    <row r="11" spans="2:16" ht="15" x14ac:dyDescent="0.25">
      <c r="B11" s="18" t="s">
        <v>20</v>
      </c>
      <c r="C11" s="22">
        <v>8921043</v>
      </c>
      <c r="D11" s="22">
        <v>10324368.334335973</v>
      </c>
      <c r="E11" s="14">
        <f t="shared" si="2"/>
        <v>0.86407639781032375</v>
      </c>
      <c r="F11" s="23" t="e">
        <f>VLOOKUP(B11,#REF!,5)</f>
        <v>#REF!</v>
      </c>
      <c r="H11" s="31" t="e">
        <f>VLOOKUP(B11,#REF!,4)</f>
        <v>#REF!</v>
      </c>
      <c r="I11" s="22">
        <f>'WF Need'!AB15</f>
        <v>10356971.437174395</v>
      </c>
      <c r="J11" s="14" t="e">
        <f>VLOOKUP(B11,#REF!,6)</f>
        <v>#REF!</v>
      </c>
      <c r="K11" s="23" t="e">
        <f>VLOOKUP(B11,#REF!,7)</f>
        <v>#REF!</v>
      </c>
      <c r="M11" s="31" t="e">
        <f t="shared" si="3"/>
        <v>#REF!</v>
      </c>
      <c r="N11" s="36" t="e">
        <f t="shared" si="4"/>
        <v>#REF!</v>
      </c>
      <c r="O11" s="22">
        <f t="shared" si="0"/>
        <v>32603.10283842124</v>
      </c>
      <c r="P11" s="37">
        <f t="shared" si="1"/>
        <v>3.1578786984955195E-3</v>
      </c>
    </row>
    <row r="12" spans="2:16" ht="15" x14ac:dyDescent="0.25">
      <c r="B12" s="18" t="s">
        <v>42</v>
      </c>
      <c r="C12" s="22">
        <v>64032893.600000001</v>
      </c>
      <c r="D12" s="22">
        <v>75332816.091166273</v>
      </c>
      <c r="E12" s="14">
        <f t="shared" si="2"/>
        <v>0.84999999897134693</v>
      </c>
      <c r="F12" s="23" t="e">
        <f>VLOOKUP(B12,#REF!,5)</f>
        <v>#REF!</v>
      </c>
      <c r="H12" s="31" t="e">
        <f>VLOOKUP(B12,#REF!,4)</f>
        <v>#REF!</v>
      </c>
      <c r="I12" s="22">
        <f>'WF Need'!AB16</f>
        <v>70425779.864082158</v>
      </c>
      <c r="J12" s="14" t="e">
        <f>VLOOKUP(B12,#REF!,6)</f>
        <v>#REF!</v>
      </c>
      <c r="K12" s="23" t="e">
        <f>VLOOKUP(B12,#REF!,7)</f>
        <v>#REF!</v>
      </c>
      <c r="M12" s="31" t="e">
        <f t="shared" si="3"/>
        <v>#REF!</v>
      </c>
      <c r="N12" s="36" t="e">
        <f t="shared" si="4"/>
        <v>#REF!</v>
      </c>
      <c r="O12" s="22">
        <f t="shared" si="0"/>
        <v>-4907036.2270841151</v>
      </c>
      <c r="P12" s="37">
        <f t="shared" si="1"/>
        <v>-6.5138096273285706E-2</v>
      </c>
    </row>
    <row r="13" spans="2:16" ht="15" x14ac:dyDescent="0.25">
      <c r="B13" s="18" t="s">
        <v>9</v>
      </c>
      <c r="C13" s="22">
        <v>2795390</v>
      </c>
      <c r="D13" s="22">
        <v>2676801.1571440799</v>
      </c>
      <c r="E13" s="14">
        <f t="shared" si="2"/>
        <v>1.0443024475461764</v>
      </c>
      <c r="F13" s="23" t="e">
        <f>VLOOKUP(B13,#REF!,5)</f>
        <v>#REF!</v>
      </c>
      <c r="H13" s="31" t="e">
        <f>VLOOKUP(B13,#REF!,4)</f>
        <v>#REF!</v>
      </c>
      <c r="I13" s="22">
        <f>'WF Need'!AB17</f>
        <v>2913338.4829051802</v>
      </c>
      <c r="J13" s="14" t="e">
        <f>VLOOKUP(B13,#REF!,6)</f>
        <v>#REF!</v>
      </c>
      <c r="K13" s="23" t="e">
        <f>VLOOKUP(B13,#REF!,7)</f>
        <v>#REF!</v>
      </c>
      <c r="M13" s="31" t="e">
        <f t="shared" si="3"/>
        <v>#REF!</v>
      </c>
      <c r="N13" s="36" t="e">
        <f t="shared" si="4"/>
        <v>#REF!</v>
      </c>
      <c r="O13" s="22">
        <f t="shared" si="0"/>
        <v>236537.32576110028</v>
      </c>
      <c r="P13" s="37">
        <f t="shared" si="1"/>
        <v>8.8365669272747013E-2</v>
      </c>
    </row>
    <row r="14" spans="2:16" ht="15" x14ac:dyDescent="0.25">
      <c r="B14" s="18" t="s">
        <v>21</v>
      </c>
      <c r="C14" s="22">
        <v>7919693</v>
      </c>
      <c r="D14" s="22">
        <v>9021637.1317627095</v>
      </c>
      <c r="E14" s="14">
        <f t="shared" si="2"/>
        <v>0.87785541408187806</v>
      </c>
      <c r="F14" s="23" t="e">
        <f>VLOOKUP(B14,#REF!,5)</f>
        <v>#REF!</v>
      </c>
      <c r="H14" s="31" t="e">
        <f>VLOOKUP(B14,#REF!,4)</f>
        <v>#REF!</v>
      </c>
      <c r="I14" s="22">
        <f>'WF Need'!AB18</f>
        <v>9091693.603906231</v>
      </c>
      <c r="J14" s="14" t="e">
        <f>VLOOKUP(B14,#REF!,6)</f>
        <v>#REF!</v>
      </c>
      <c r="K14" s="23" t="e">
        <f>VLOOKUP(B14,#REF!,7)</f>
        <v>#REF!</v>
      </c>
      <c r="M14" s="31" t="e">
        <f t="shared" si="3"/>
        <v>#REF!</v>
      </c>
      <c r="N14" s="36" t="e">
        <f t="shared" si="4"/>
        <v>#REF!</v>
      </c>
      <c r="O14" s="22">
        <f t="shared" si="0"/>
        <v>70056.472143521532</v>
      </c>
      <c r="P14" s="37">
        <f t="shared" si="1"/>
        <v>7.7653835019446654E-3</v>
      </c>
    </row>
    <row r="15" spans="2:16" ht="15" x14ac:dyDescent="0.25">
      <c r="B15" s="18" t="s">
        <v>22</v>
      </c>
      <c r="C15" s="22">
        <v>10492754</v>
      </c>
      <c r="D15" s="22">
        <v>9738693.0156134423</v>
      </c>
      <c r="E15" s="14">
        <f t="shared" si="2"/>
        <v>1.0774293822772336</v>
      </c>
      <c r="F15" s="23" t="e">
        <f>VLOOKUP(B15,#REF!,5)</f>
        <v>#REF!</v>
      </c>
      <c r="H15" s="31" t="e">
        <f>VLOOKUP(B15,#REF!,4)</f>
        <v>#REF!</v>
      </c>
      <c r="I15" s="22">
        <f>'WF Need'!AB19</f>
        <v>9180484.4156796876</v>
      </c>
      <c r="J15" s="14" t="e">
        <f>VLOOKUP(B15,#REF!,6)</f>
        <v>#REF!</v>
      </c>
      <c r="K15" s="23" t="e">
        <f>VLOOKUP(B15,#REF!,7)</f>
        <v>#REF!</v>
      </c>
      <c r="M15" s="31" t="e">
        <f t="shared" si="3"/>
        <v>#REF!</v>
      </c>
      <c r="N15" s="36" t="e">
        <f t="shared" si="4"/>
        <v>#REF!</v>
      </c>
      <c r="O15" s="22">
        <f t="shared" si="0"/>
        <v>-558208.59993375465</v>
      </c>
      <c r="P15" s="37">
        <f t="shared" si="1"/>
        <v>-5.7318635985220343E-2</v>
      </c>
    </row>
    <row r="16" spans="2:16" ht="15" x14ac:dyDescent="0.25">
      <c r="B16" s="18" t="s">
        <v>10</v>
      </c>
      <c r="C16" s="22">
        <v>2343914</v>
      </c>
      <c r="D16" s="22">
        <v>2271352.2224028148</v>
      </c>
      <c r="E16" s="14">
        <f t="shared" si="2"/>
        <v>1.0319465104889913</v>
      </c>
      <c r="F16" s="23" t="e">
        <f>VLOOKUP(B16,#REF!,5)</f>
        <v>#REF!</v>
      </c>
      <c r="H16" s="31" t="e">
        <f>VLOOKUP(B16,#REF!,4)</f>
        <v>#REF!</v>
      </c>
      <c r="I16" s="22">
        <f>'WF Need'!AB20</f>
        <v>2257442.6887925877</v>
      </c>
      <c r="J16" s="14" t="e">
        <f>VLOOKUP(B16,#REF!,6)</f>
        <v>#REF!</v>
      </c>
      <c r="K16" s="23" t="e">
        <f>VLOOKUP(B16,#REF!,7)</f>
        <v>#REF!</v>
      </c>
      <c r="M16" s="31" t="e">
        <f t="shared" si="3"/>
        <v>#REF!</v>
      </c>
      <c r="N16" s="36" t="e">
        <f t="shared" si="4"/>
        <v>#REF!</v>
      </c>
      <c r="O16" s="22">
        <f t="shared" si="0"/>
        <v>-13909.533610227052</v>
      </c>
      <c r="P16" s="37">
        <f t="shared" si="1"/>
        <v>-6.123899883529493E-3</v>
      </c>
    </row>
    <row r="17" spans="2:16" ht="15" x14ac:dyDescent="0.25">
      <c r="B17" s="18" t="s">
        <v>43</v>
      </c>
      <c r="C17" s="22">
        <v>62809351</v>
      </c>
      <c r="D17" s="22">
        <v>73668735.186847121</v>
      </c>
      <c r="E17" s="14">
        <f t="shared" si="2"/>
        <v>0.85259168412075625</v>
      </c>
      <c r="F17" s="23" t="e">
        <f>VLOOKUP(B17,#REF!,5)</f>
        <v>#REF!</v>
      </c>
      <c r="H17" s="31" t="e">
        <f>VLOOKUP(B17,#REF!,4)</f>
        <v>#REF!</v>
      </c>
      <c r="I17" s="22">
        <f>'WF Need'!AB21</f>
        <v>71289380.321013987</v>
      </c>
      <c r="J17" s="14" t="e">
        <f>VLOOKUP(B17,#REF!,6)</f>
        <v>#REF!</v>
      </c>
      <c r="K17" s="23" t="e">
        <f>VLOOKUP(B17,#REF!,7)</f>
        <v>#REF!</v>
      </c>
      <c r="M17" s="31" t="e">
        <f t="shared" si="3"/>
        <v>#REF!</v>
      </c>
      <c r="N17" s="36" t="e">
        <f t="shared" si="4"/>
        <v>#REF!</v>
      </c>
      <c r="O17" s="22">
        <f t="shared" si="0"/>
        <v>-2379354.8658331335</v>
      </c>
      <c r="P17" s="37">
        <f t="shared" si="1"/>
        <v>-3.2298027919148334E-2</v>
      </c>
    </row>
    <row r="18" spans="2:16" ht="15" x14ac:dyDescent="0.25">
      <c r="B18" s="18" t="s">
        <v>23</v>
      </c>
      <c r="C18" s="22">
        <v>9924340.75</v>
      </c>
      <c r="D18" s="22">
        <v>11675694.725025401</v>
      </c>
      <c r="E18" s="14">
        <f t="shared" si="2"/>
        <v>0.85000002001837283</v>
      </c>
      <c r="F18" s="23" t="e">
        <f>VLOOKUP(B18,#REF!,5)</f>
        <v>#REF!</v>
      </c>
      <c r="H18" s="31" t="e">
        <f>VLOOKUP(B18,#REF!,4)</f>
        <v>#REF!</v>
      </c>
      <c r="I18" s="22">
        <f>'WF Need'!AB22</f>
        <v>11792062.430566631</v>
      </c>
      <c r="J18" s="14" t="e">
        <f>VLOOKUP(B18,#REF!,6)</f>
        <v>#REF!</v>
      </c>
      <c r="K18" s="23" t="e">
        <f>VLOOKUP(B18,#REF!,7)</f>
        <v>#REF!</v>
      </c>
      <c r="M18" s="31" t="e">
        <f t="shared" si="3"/>
        <v>#REF!</v>
      </c>
      <c r="N18" s="36" t="e">
        <f t="shared" si="4"/>
        <v>#REF!</v>
      </c>
      <c r="O18" s="22">
        <f t="shared" si="0"/>
        <v>116367.70554123074</v>
      </c>
      <c r="P18" s="37">
        <f t="shared" si="1"/>
        <v>9.9666622228321046E-3</v>
      </c>
    </row>
    <row r="19" spans="2:16" ht="15" x14ac:dyDescent="0.25">
      <c r="B19" s="18" t="s">
        <v>24</v>
      </c>
      <c r="C19" s="22">
        <v>4669234.45</v>
      </c>
      <c r="D19" s="22">
        <v>5493217.0420673583</v>
      </c>
      <c r="E19" s="14">
        <f t="shared" si="2"/>
        <v>0.84999999349065325</v>
      </c>
      <c r="F19" s="23" t="e">
        <f>VLOOKUP(B19,#REF!,5)</f>
        <v>#REF!</v>
      </c>
      <c r="H19" s="31" t="e">
        <f>VLOOKUP(B19,#REF!,4)</f>
        <v>#REF!</v>
      </c>
      <c r="I19" s="22">
        <f>'WF Need'!AB23</f>
        <v>5466319.272101081</v>
      </c>
      <c r="J19" s="14" t="e">
        <f>VLOOKUP(B19,#REF!,6)</f>
        <v>#REF!</v>
      </c>
      <c r="K19" s="23" t="e">
        <f>VLOOKUP(B19,#REF!,7)</f>
        <v>#REF!</v>
      </c>
      <c r="M19" s="31" t="e">
        <f t="shared" si="3"/>
        <v>#REF!</v>
      </c>
      <c r="N19" s="36" t="e">
        <f t="shared" si="4"/>
        <v>#REF!</v>
      </c>
      <c r="O19" s="22">
        <f t="shared" si="0"/>
        <v>-26897.769966277294</v>
      </c>
      <c r="P19" s="37">
        <f t="shared" si="1"/>
        <v>-4.8965423649371016E-3</v>
      </c>
    </row>
    <row r="20" spans="2:16" ht="15" x14ac:dyDescent="0.25">
      <c r="B20" s="18" t="s">
        <v>11</v>
      </c>
      <c r="C20" s="22">
        <v>2553568</v>
      </c>
      <c r="D20" s="22">
        <v>2263343.559430887</v>
      </c>
      <c r="E20" s="14">
        <f t="shared" si="2"/>
        <v>1.1282281867283503</v>
      </c>
      <c r="F20" s="23" t="e">
        <f>VLOOKUP(B20,#REF!,5)</f>
        <v>#REF!</v>
      </c>
      <c r="H20" s="31" t="e">
        <f>VLOOKUP(B20,#REF!,4)</f>
        <v>#REF!</v>
      </c>
      <c r="I20" s="22">
        <f>'WF Need'!AB24</f>
        <v>2332455.4969586707</v>
      </c>
      <c r="J20" s="14" t="e">
        <f>VLOOKUP(B20,#REF!,6)</f>
        <v>#REF!</v>
      </c>
      <c r="K20" s="23" t="e">
        <f>VLOOKUP(B20,#REF!,7)</f>
        <v>#REF!</v>
      </c>
      <c r="M20" s="31" t="e">
        <f t="shared" si="3"/>
        <v>#REF!</v>
      </c>
      <c r="N20" s="36" t="e">
        <f t="shared" si="4"/>
        <v>#REF!</v>
      </c>
      <c r="O20" s="22">
        <f t="shared" si="0"/>
        <v>69111.937527783681</v>
      </c>
      <c r="P20" s="37">
        <f t="shared" si="1"/>
        <v>3.0535327807308995E-2</v>
      </c>
    </row>
    <row r="21" spans="2:16" ht="15" x14ac:dyDescent="0.25">
      <c r="B21" s="18" t="s">
        <v>54</v>
      </c>
      <c r="C21" s="22">
        <v>696728248.19999993</v>
      </c>
      <c r="D21" s="22">
        <v>819680291.52896309</v>
      </c>
      <c r="E21" s="14">
        <f t="shared" si="2"/>
        <v>0.85000000048846036</v>
      </c>
      <c r="F21" s="23" t="e">
        <f>VLOOKUP(B21,#REF!,5)</f>
        <v>#REF!</v>
      </c>
      <c r="H21" s="31" t="e">
        <f>VLOOKUP(B21,#REF!,4)</f>
        <v>#REF!</v>
      </c>
      <c r="I21" s="22">
        <f>'WF Need'!AB25</f>
        <v>797638572.47001946</v>
      </c>
      <c r="J21" s="14" t="e">
        <f>VLOOKUP(B21,#REF!,6)</f>
        <v>#REF!</v>
      </c>
      <c r="K21" s="23" t="e">
        <f>VLOOKUP(B21,#REF!,7)</f>
        <v>#REF!</v>
      </c>
      <c r="M21" s="31" t="e">
        <f t="shared" si="3"/>
        <v>#REF!</v>
      </c>
      <c r="N21" s="36" t="e">
        <f t="shared" si="4"/>
        <v>#REF!</v>
      </c>
      <c r="O21" s="22">
        <f t="shared" si="0"/>
        <v>-22041719.058943629</v>
      </c>
      <c r="P21" s="37">
        <f t="shared" si="1"/>
        <v>-2.6890629537802902E-2</v>
      </c>
    </row>
    <row r="22" spans="2:16" ht="15" x14ac:dyDescent="0.25">
      <c r="B22" s="18" t="s">
        <v>25</v>
      </c>
      <c r="C22" s="22">
        <v>11058669.15</v>
      </c>
      <c r="D22" s="22">
        <v>13010198.767199522</v>
      </c>
      <c r="E22" s="14">
        <f t="shared" si="2"/>
        <v>0.85000001520963753</v>
      </c>
      <c r="F22" s="23" t="e">
        <f>VLOOKUP(B22,#REF!,5)</f>
        <v>#REF!</v>
      </c>
      <c r="H22" s="31" t="e">
        <f>VLOOKUP(B22,#REF!,4)</f>
        <v>#REF!</v>
      </c>
      <c r="I22" s="22">
        <f>'WF Need'!AB26</f>
        <v>13235588.020255908</v>
      </c>
      <c r="J22" s="14" t="e">
        <f>VLOOKUP(B22,#REF!,6)</f>
        <v>#REF!</v>
      </c>
      <c r="K22" s="23" t="e">
        <f>VLOOKUP(B22,#REF!,7)</f>
        <v>#REF!</v>
      </c>
      <c r="M22" s="31" t="e">
        <f t="shared" si="3"/>
        <v>#REF!</v>
      </c>
      <c r="N22" s="36" t="e">
        <f t="shared" si="4"/>
        <v>#REF!</v>
      </c>
      <c r="O22" s="22">
        <f t="shared" si="0"/>
        <v>225389.25305638649</v>
      </c>
      <c r="P22" s="37">
        <f t="shared" si="1"/>
        <v>1.7324043782069143E-2</v>
      </c>
    </row>
    <row r="23" spans="2:16" ht="15" x14ac:dyDescent="0.25">
      <c r="B23" s="18" t="s">
        <v>26</v>
      </c>
      <c r="C23" s="22">
        <v>13986764</v>
      </c>
      <c r="D23" s="22">
        <v>15094820.096735086</v>
      </c>
      <c r="E23" s="14">
        <f t="shared" si="2"/>
        <v>0.92659362021977643</v>
      </c>
      <c r="F23" s="23" t="e">
        <f>VLOOKUP(B23,#REF!,5)</f>
        <v>#REF!</v>
      </c>
      <c r="H23" s="31" t="e">
        <f>VLOOKUP(B23,#REF!,4)</f>
        <v>#REF!</v>
      </c>
      <c r="I23" s="22">
        <f>'WF Need'!AB27</f>
        <v>15087150.211298048</v>
      </c>
      <c r="J23" s="14" t="e">
        <f>VLOOKUP(B23,#REF!,6)</f>
        <v>#REF!</v>
      </c>
      <c r="K23" s="23" t="e">
        <f>VLOOKUP(B23,#REF!,7)</f>
        <v>#REF!</v>
      </c>
      <c r="M23" s="31" t="e">
        <f t="shared" si="3"/>
        <v>#REF!</v>
      </c>
      <c r="N23" s="36" t="e">
        <f t="shared" si="4"/>
        <v>#REF!</v>
      </c>
      <c r="O23" s="22">
        <f t="shared" si="0"/>
        <v>-7669.8854370377958</v>
      </c>
      <c r="P23" s="37">
        <f t="shared" si="1"/>
        <v>-5.0811373622775024E-4</v>
      </c>
    </row>
    <row r="24" spans="2:16" ht="15" x14ac:dyDescent="0.25">
      <c r="B24" s="18" t="s">
        <v>12</v>
      </c>
      <c r="C24" s="22">
        <v>1639792</v>
      </c>
      <c r="D24" s="22">
        <v>1798556.4455715318</v>
      </c>
      <c r="E24" s="14">
        <f t="shared" si="2"/>
        <v>0.91172673731622544</v>
      </c>
      <c r="F24" s="23" t="e">
        <f>VLOOKUP(B24,#REF!,5)</f>
        <v>#REF!</v>
      </c>
      <c r="H24" s="31" t="e">
        <f>VLOOKUP(B24,#REF!,4)</f>
        <v>#REF!</v>
      </c>
      <c r="I24" s="22">
        <f>'WF Need'!AB28</f>
        <v>1809936.6643506989</v>
      </c>
      <c r="J24" s="14" t="e">
        <f>VLOOKUP(B24,#REF!,6)</f>
        <v>#REF!</v>
      </c>
      <c r="K24" s="23" t="e">
        <f>VLOOKUP(B24,#REF!,7)</f>
        <v>#REF!</v>
      </c>
      <c r="M24" s="31" t="e">
        <f t="shared" si="3"/>
        <v>#REF!</v>
      </c>
      <c r="N24" s="36" t="e">
        <f t="shared" si="4"/>
        <v>#REF!</v>
      </c>
      <c r="O24" s="22">
        <f t="shared" si="0"/>
        <v>11380.21877916716</v>
      </c>
      <c r="P24" s="37">
        <f t="shared" si="1"/>
        <v>6.3274181954021689E-3</v>
      </c>
    </row>
    <row r="25" spans="2:16" ht="15" x14ac:dyDescent="0.25">
      <c r="B25" s="18" t="s">
        <v>27</v>
      </c>
      <c r="C25" s="22">
        <v>7063064</v>
      </c>
      <c r="D25" s="22">
        <v>7538190.5724505903</v>
      </c>
      <c r="E25" s="14">
        <f t="shared" si="2"/>
        <v>0.93697074014193682</v>
      </c>
      <c r="F25" s="23" t="e">
        <f>VLOOKUP(B25,#REF!,5)</f>
        <v>#REF!</v>
      </c>
      <c r="H25" s="31" t="e">
        <f>VLOOKUP(B25,#REF!,4)</f>
        <v>#REF!</v>
      </c>
      <c r="I25" s="22">
        <f>'WF Need'!AB29</f>
        <v>7651216.971375457</v>
      </c>
      <c r="J25" s="14" t="e">
        <f>VLOOKUP(B25,#REF!,6)</f>
        <v>#REF!</v>
      </c>
      <c r="K25" s="23" t="e">
        <f>VLOOKUP(B25,#REF!,7)</f>
        <v>#REF!</v>
      </c>
      <c r="M25" s="31" t="e">
        <f t="shared" si="3"/>
        <v>#REF!</v>
      </c>
      <c r="N25" s="36" t="e">
        <f t="shared" si="4"/>
        <v>#REF!</v>
      </c>
      <c r="O25" s="22">
        <f t="shared" si="0"/>
        <v>113026.39892486669</v>
      </c>
      <c r="P25" s="37">
        <f t="shared" si="1"/>
        <v>1.4993836762092224E-2</v>
      </c>
    </row>
    <row r="26" spans="2:16" ht="15" x14ac:dyDescent="0.25">
      <c r="B26" s="18" t="s">
        <v>28</v>
      </c>
      <c r="C26" s="22">
        <v>15888366.6</v>
      </c>
      <c r="D26" s="22">
        <v>18692196.12439302</v>
      </c>
      <c r="E26" s="14">
        <f t="shared" si="2"/>
        <v>0.84999999434341122</v>
      </c>
      <c r="F26" s="23" t="e">
        <f>VLOOKUP(B26,#REF!,5)</f>
        <v>#REF!</v>
      </c>
      <c r="H26" s="31" t="e">
        <f>VLOOKUP(B26,#REF!,4)</f>
        <v>#REF!</v>
      </c>
      <c r="I26" s="22">
        <f>'WF Need'!AB30</f>
        <v>18252185.792749632</v>
      </c>
      <c r="J26" s="14" t="e">
        <f>VLOOKUP(B26,#REF!,6)</f>
        <v>#REF!</v>
      </c>
      <c r="K26" s="23" t="e">
        <f>VLOOKUP(B26,#REF!,7)</f>
        <v>#REF!</v>
      </c>
      <c r="M26" s="31" t="e">
        <f t="shared" si="3"/>
        <v>#REF!</v>
      </c>
      <c r="N26" s="36" t="e">
        <f t="shared" si="4"/>
        <v>#REF!</v>
      </c>
      <c r="O26" s="22">
        <f t="shared" si="0"/>
        <v>-440010.33164338768</v>
      </c>
      <c r="P26" s="37">
        <f t="shared" si="1"/>
        <v>-2.3539787872714494E-2</v>
      </c>
    </row>
    <row r="27" spans="2:16" ht="15" x14ac:dyDescent="0.25">
      <c r="B27" s="18" t="s">
        <v>13</v>
      </c>
      <c r="C27" s="22">
        <v>1276377</v>
      </c>
      <c r="D27" s="22">
        <v>1219811.2468836694</v>
      </c>
      <c r="E27" s="14">
        <f t="shared" si="2"/>
        <v>1.0463725459663065</v>
      </c>
      <c r="F27" s="23" t="e">
        <f>VLOOKUP(B27,#REF!,5)</f>
        <v>#REF!</v>
      </c>
      <c r="H27" s="31" t="e">
        <f>VLOOKUP(B27,#REF!,4)</f>
        <v>#REF!</v>
      </c>
      <c r="I27" s="22">
        <f>'WF Need'!AB31</f>
        <v>1284286.5122001646</v>
      </c>
      <c r="J27" s="14" t="e">
        <f>VLOOKUP(B27,#REF!,6)</f>
        <v>#REF!</v>
      </c>
      <c r="K27" s="23" t="e">
        <f>VLOOKUP(B27,#REF!,7)</f>
        <v>#REF!</v>
      </c>
      <c r="M27" s="31" t="e">
        <f t="shared" si="3"/>
        <v>#REF!</v>
      </c>
      <c r="N27" s="36" t="e">
        <f t="shared" si="4"/>
        <v>#REF!</v>
      </c>
      <c r="O27" s="22">
        <f t="shared" si="0"/>
        <v>64475.265316495206</v>
      </c>
      <c r="P27" s="37">
        <f t="shared" si="1"/>
        <v>5.2856755896631004E-2</v>
      </c>
    </row>
    <row r="28" spans="2:16" ht="15" x14ac:dyDescent="0.25">
      <c r="B28" s="18" t="s">
        <v>14</v>
      </c>
      <c r="C28" s="22">
        <v>2338492</v>
      </c>
      <c r="D28" s="22">
        <v>1974168.6920006627</v>
      </c>
      <c r="E28" s="14">
        <f t="shared" si="2"/>
        <v>1.1845451756354846</v>
      </c>
      <c r="F28" s="23" t="e">
        <f>VLOOKUP(B28,#REF!,5)</f>
        <v>#REF!</v>
      </c>
      <c r="H28" s="31" t="e">
        <f>VLOOKUP(B28,#REF!,4)</f>
        <v>#REF!</v>
      </c>
      <c r="I28" s="22">
        <f>'WF Need'!AB32</f>
        <v>2037226.0035849311</v>
      </c>
      <c r="J28" s="14" t="e">
        <f>VLOOKUP(B28,#REF!,6)</f>
        <v>#REF!</v>
      </c>
      <c r="K28" s="23" t="e">
        <f>VLOOKUP(B28,#REF!,7)</f>
        <v>#REF!</v>
      </c>
      <c r="M28" s="31" t="e">
        <f t="shared" si="3"/>
        <v>#REF!</v>
      </c>
      <c r="N28" s="36" t="e">
        <f t="shared" si="4"/>
        <v>#REF!</v>
      </c>
      <c r="O28" s="22">
        <f t="shared" si="0"/>
        <v>63057.311584268464</v>
      </c>
      <c r="P28" s="37">
        <f t="shared" si="1"/>
        <v>3.1941197244073863E-2</v>
      </c>
    </row>
    <row r="29" spans="2:16" ht="15" x14ac:dyDescent="0.25">
      <c r="B29" s="18" t="s">
        <v>44</v>
      </c>
      <c r="C29" s="22">
        <v>23678988.050000001</v>
      </c>
      <c r="D29" s="22">
        <v>27857632.853599183</v>
      </c>
      <c r="E29" s="14">
        <f t="shared" si="2"/>
        <v>0.85000000446702328</v>
      </c>
      <c r="F29" s="23" t="e">
        <f>VLOOKUP(B29,#REF!,5)</f>
        <v>#REF!</v>
      </c>
      <c r="H29" s="31" t="e">
        <f>VLOOKUP(B29,#REF!,4)</f>
        <v>#REF!</v>
      </c>
      <c r="I29" s="22">
        <f>'WF Need'!AB33</f>
        <v>27843901.388213594</v>
      </c>
      <c r="J29" s="14" t="e">
        <f>VLOOKUP(B29,#REF!,6)</f>
        <v>#REF!</v>
      </c>
      <c r="K29" s="23" t="e">
        <f>VLOOKUP(B29,#REF!,7)</f>
        <v>#REF!</v>
      </c>
      <c r="M29" s="31" t="e">
        <f t="shared" si="3"/>
        <v>#REF!</v>
      </c>
      <c r="N29" s="36" t="e">
        <f t="shared" si="4"/>
        <v>#REF!</v>
      </c>
      <c r="O29" s="22">
        <f t="shared" si="0"/>
        <v>-13731.465385589749</v>
      </c>
      <c r="P29" s="37">
        <f t="shared" si="1"/>
        <v>-4.9291572825849975E-4</v>
      </c>
    </row>
    <row r="30" spans="2:16" ht="15" x14ac:dyDescent="0.25">
      <c r="B30" s="18" t="s">
        <v>29</v>
      </c>
      <c r="C30" s="22">
        <v>9011926.0999999996</v>
      </c>
      <c r="D30" s="22">
        <v>10602266.286604147</v>
      </c>
      <c r="E30" s="14">
        <f t="shared" si="2"/>
        <v>0.84999997702250452</v>
      </c>
      <c r="F30" s="23" t="e">
        <f>VLOOKUP(B30,#REF!,5)</f>
        <v>#REF!</v>
      </c>
      <c r="H30" s="31" t="e">
        <f>VLOOKUP(B30,#REF!,4)</f>
        <v>#REF!</v>
      </c>
      <c r="I30" s="22">
        <f>'WF Need'!AB34</f>
        <v>9979949.5141789895</v>
      </c>
      <c r="J30" s="14" t="e">
        <f>VLOOKUP(B30,#REF!,6)</f>
        <v>#REF!</v>
      </c>
      <c r="K30" s="23" t="e">
        <f>VLOOKUP(B30,#REF!,7)</f>
        <v>#REF!</v>
      </c>
      <c r="M30" s="31" t="e">
        <f t="shared" si="3"/>
        <v>#REF!</v>
      </c>
      <c r="N30" s="36" t="e">
        <f t="shared" si="4"/>
        <v>#REF!</v>
      </c>
      <c r="O30" s="22">
        <f t="shared" si="0"/>
        <v>-622316.77242515795</v>
      </c>
      <c r="P30" s="37">
        <f t="shared" si="1"/>
        <v>-5.869658010867438E-2</v>
      </c>
    </row>
    <row r="31" spans="2:16" ht="15" x14ac:dyDescent="0.25">
      <c r="B31" s="18" t="s">
        <v>30</v>
      </c>
      <c r="C31" s="22">
        <v>6181354.7000000002</v>
      </c>
      <c r="D31" s="22">
        <v>7272181.8883402795</v>
      </c>
      <c r="E31" s="14">
        <f t="shared" si="2"/>
        <v>0.85000001305120854</v>
      </c>
      <c r="F31" s="23" t="e">
        <f>VLOOKUP(B31,#REF!,5)</f>
        <v>#REF!</v>
      </c>
      <c r="H31" s="31" t="e">
        <f>VLOOKUP(B31,#REF!,4)</f>
        <v>#REF!</v>
      </c>
      <c r="I31" s="22">
        <f>'WF Need'!AB35</f>
        <v>7206655.42112788</v>
      </c>
      <c r="J31" s="14" t="e">
        <f>VLOOKUP(B31,#REF!,6)</f>
        <v>#REF!</v>
      </c>
      <c r="K31" s="23" t="e">
        <f>VLOOKUP(B31,#REF!,7)</f>
        <v>#REF!</v>
      </c>
      <c r="M31" s="31" t="e">
        <f t="shared" si="3"/>
        <v>#REF!</v>
      </c>
      <c r="N31" s="36" t="e">
        <f t="shared" si="4"/>
        <v>#REF!</v>
      </c>
      <c r="O31" s="22">
        <f t="shared" si="0"/>
        <v>-65526.467212399468</v>
      </c>
      <c r="P31" s="37">
        <f t="shared" si="1"/>
        <v>-9.0105649471529502E-3</v>
      </c>
    </row>
    <row r="32" spans="2:16" ht="15" x14ac:dyDescent="0.25">
      <c r="B32" s="18" t="s">
        <v>55</v>
      </c>
      <c r="C32" s="22">
        <v>175181044.94999999</v>
      </c>
      <c r="D32" s="22">
        <v>206095346.92045417</v>
      </c>
      <c r="E32" s="14">
        <f t="shared" si="2"/>
        <v>0.85000000032807121</v>
      </c>
      <c r="F32" s="23" t="e">
        <f>VLOOKUP(B32,#REF!,5)</f>
        <v>#REF!</v>
      </c>
      <c r="H32" s="31" t="e">
        <f>VLOOKUP(B32,#REF!,4)</f>
        <v>#REF!</v>
      </c>
      <c r="I32" s="22">
        <f>'WF Need'!AB36</f>
        <v>202532325.58153594</v>
      </c>
      <c r="J32" s="14" t="e">
        <f>VLOOKUP(B32,#REF!,6)</f>
        <v>#REF!</v>
      </c>
      <c r="K32" s="23" t="e">
        <f>VLOOKUP(B32,#REF!,7)</f>
        <v>#REF!</v>
      </c>
      <c r="M32" s="31" t="e">
        <f t="shared" si="3"/>
        <v>#REF!</v>
      </c>
      <c r="N32" s="36" t="e">
        <f t="shared" si="4"/>
        <v>#REF!</v>
      </c>
      <c r="O32" s="22">
        <f t="shared" si="0"/>
        <v>-3563021.3389182389</v>
      </c>
      <c r="P32" s="37">
        <f t="shared" si="1"/>
        <v>-1.728821825508484E-2</v>
      </c>
    </row>
    <row r="33" spans="2:16" ht="15" x14ac:dyDescent="0.25">
      <c r="B33" s="18" t="s">
        <v>31</v>
      </c>
      <c r="C33" s="22">
        <v>22024833.649999999</v>
      </c>
      <c r="D33" s="22">
        <v>25911569.007889275</v>
      </c>
      <c r="E33" s="14">
        <f t="shared" si="2"/>
        <v>0.84999999974120111</v>
      </c>
      <c r="F33" s="23" t="e">
        <f>VLOOKUP(B33,#REF!,5)</f>
        <v>#REF!</v>
      </c>
      <c r="H33" s="31" t="e">
        <f>VLOOKUP(B33,#REF!,4)</f>
        <v>#REF!</v>
      </c>
      <c r="I33" s="22">
        <f>'WF Need'!AB37</f>
        <v>26597229.582415316</v>
      </c>
      <c r="J33" s="14" t="e">
        <f>VLOOKUP(B33,#REF!,6)</f>
        <v>#REF!</v>
      </c>
      <c r="K33" s="23" t="e">
        <f>VLOOKUP(B33,#REF!,7)</f>
        <v>#REF!</v>
      </c>
      <c r="M33" s="31" t="e">
        <f t="shared" si="3"/>
        <v>#REF!</v>
      </c>
      <c r="N33" s="36" t="e">
        <f t="shared" si="4"/>
        <v>#REF!</v>
      </c>
      <c r="O33" s="22">
        <f t="shared" si="0"/>
        <v>685660.57452604175</v>
      </c>
      <c r="P33" s="37">
        <f t="shared" si="1"/>
        <v>2.6461561409781061E-2</v>
      </c>
    </row>
    <row r="34" spans="2:16" ht="15" x14ac:dyDescent="0.25">
      <c r="B34" s="18" t="s">
        <v>15</v>
      </c>
      <c r="C34" s="22">
        <v>1763098</v>
      </c>
      <c r="D34" s="22">
        <v>1680815.4941393933</v>
      </c>
      <c r="E34" s="14">
        <f t="shared" si="2"/>
        <v>1.0489539191823887</v>
      </c>
      <c r="F34" s="23" t="e">
        <f>VLOOKUP(B34,#REF!,5)</f>
        <v>#REF!</v>
      </c>
      <c r="H34" s="31" t="e">
        <f>VLOOKUP(B34,#REF!,4)</f>
        <v>#REF!</v>
      </c>
      <c r="I34" s="22">
        <f>'WF Need'!AB38</f>
        <v>1663727.435611998</v>
      </c>
      <c r="J34" s="14" t="e">
        <f>VLOOKUP(B34,#REF!,6)</f>
        <v>#REF!</v>
      </c>
      <c r="K34" s="23" t="e">
        <f>VLOOKUP(B34,#REF!,7)</f>
        <v>#REF!</v>
      </c>
      <c r="M34" s="31" t="e">
        <f t="shared" si="3"/>
        <v>#REF!</v>
      </c>
      <c r="N34" s="36" t="e">
        <f t="shared" si="4"/>
        <v>#REF!</v>
      </c>
      <c r="O34" s="22">
        <f t="shared" si="0"/>
        <v>-17088.058527395362</v>
      </c>
      <c r="P34" s="37">
        <f t="shared" si="1"/>
        <v>-1.0166528442281372E-2</v>
      </c>
    </row>
    <row r="35" spans="2:16" ht="15" x14ac:dyDescent="0.25">
      <c r="B35" s="18" t="s">
        <v>56</v>
      </c>
      <c r="C35" s="22">
        <v>125948337.75</v>
      </c>
      <c r="D35" s="22">
        <v>148174515.43086958</v>
      </c>
      <c r="E35" s="14">
        <f t="shared" si="2"/>
        <v>0.84999999752832567</v>
      </c>
      <c r="F35" s="23" t="e">
        <f>VLOOKUP(B35,#REF!,5)</f>
        <v>#REF!</v>
      </c>
      <c r="H35" s="31" t="e">
        <f>VLOOKUP(B35,#REF!,4)</f>
        <v>#REF!</v>
      </c>
      <c r="I35" s="22">
        <f>'WF Need'!AB39</f>
        <v>146241645.64945099</v>
      </c>
      <c r="J35" s="14" t="e">
        <f>VLOOKUP(B35,#REF!,6)</f>
        <v>#REF!</v>
      </c>
      <c r="K35" s="23" t="e">
        <f>VLOOKUP(B35,#REF!,7)</f>
        <v>#REF!</v>
      </c>
      <c r="M35" s="31" t="e">
        <f t="shared" ref="M35:M60" si="5">H35-C35</f>
        <v>#REF!</v>
      </c>
      <c r="N35" s="36" t="e">
        <f t="shared" ref="N35:N60" si="6">M35/C35</f>
        <v>#REF!</v>
      </c>
      <c r="O35" s="22">
        <f t="shared" ref="O35:O60" si="7">I35-D35</f>
        <v>-1932869.7814185917</v>
      </c>
      <c r="P35" s="37">
        <f t="shared" ref="P35:P61" si="8">O35/D35</f>
        <v>-1.3044549366657904E-2</v>
      </c>
    </row>
    <row r="36" spans="2:16" ht="15" x14ac:dyDescent="0.25">
      <c r="B36" s="18" t="s">
        <v>57</v>
      </c>
      <c r="C36" s="22">
        <v>106223730.75</v>
      </c>
      <c r="D36" s="22">
        <v>124969094.54988866</v>
      </c>
      <c r="E36" s="14">
        <f t="shared" si="2"/>
        <v>0.85000000306151413</v>
      </c>
      <c r="F36" s="23" t="e">
        <f>VLOOKUP(B36,#REF!,5)</f>
        <v>#REF!</v>
      </c>
      <c r="H36" s="31" t="e">
        <f>VLOOKUP(B36,#REF!,4)</f>
        <v>#REF!</v>
      </c>
      <c r="I36" s="22">
        <f>'WF Need'!AB40</f>
        <v>116258997.37531561</v>
      </c>
      <c r="J36" s="14" t="e">
        <f>VLOOKUP(B36,#REF!,6)</f>
        <v>#REF!</v>
      </c>
      <c r="K36" s="23" t="e">
        <f>VLOOKUP(B36,#REF!,7)</f>
        <v>#REF!</v>
      </c>
      <c r="M36" s="31" t="e">
        <f t="shared" si="5"/>
        <v>#REF!</v>
      </c>
      <c r="N36" s="36" t="e">
        <f t="shared" si="6"/>
        <v>#REF!</v>
      </c>
      <c r="O36" s="22">
        <f t="shared" si="7"/>
        <v>-8710097.1745730489</v>
      </c>
      <c r="P36" s="37">
        <f t="shared" si="8"/>
        <v>-6.9698009783498188E-2</v>
      </c>
    </row>
    <row r="37" spans="2:16" ht="15" x14ac:dyDescent="0.25">
      <c r="B37" s="18" t="s">
        <v>16</v>
      </c>
      <c r="C37" s="22">
        <v>4348381</v>
      </c>
      <c r="D37" s="22">
        <v>4030122.5762615902</v>
      </c>
      <c r="E37" s="14">
        <f t="shared" si="2"/>
        <v>1.0789699116381795</v>
      </c>
      <c r="F37" s="23" t="e">
        <f>VLOOKUP(B37,#REF!,5)</f>
        <v>#REF!</v>
      </c>
      <c r="H37" s="31" t="e">
        <f>VLOOKUP(B37,#REF!,4)</f>
        <v>#REF!</v>
      </c>
      <c r="I37" s="22">
        <f>'WF Need'!AB41</f>
        <v>4662437.5067758877</v>
      </c>
      <c r="J37" s="14" t="e">
        <f>VLOOKUP(B37,#REF!,6)</f>
        <v>#REF!</v>
      </c>
      <c r="K37" s="23" t="e">
        <f>VLOOKUP(B37,#REF!,7)</f>
        <v>#REF!</v>
      </c>
      <c r="M37" s="31" t="e">
        <f t="shared" si="5"/>
        <v>#REF!</v>
      </c>
      <c r="N37" s="36" t="e">
        <f t="shared" si="6"/>
        <v>#REF!</v>
      </c>
      <c r="O37" s="22">
        <f t="shared" si="7"/>
        <v>632314.93051429745</v>
      </c>
      <c r="P37" s="37">
        <f t="shared" si="8"/>
        <v>0.15689719569295171</v>
      </c>
    </row>
    <row r="38" spans="2:16" ht="15" x14ac:dyDescent="0.25">
      <c r="B38" s="18" t="s">
        <v>58</v>
      </c>
      <c r="C38" s="22">
        <v>128127066.25</v>
      </c>
      <c r="D38" s="22">
        <v>150737724.82650384</v>
      </c>
      <c r="E38" s="14">
        <f t="shared" si="2"/>
        <v>0.85000000097833328</v>
      </c>
      <c r="F38" s="23" t="e">
        <f>VLOOKUP(B38,#REF!,5)</f>
        <v>#REF!</v>
      </c>
      <c r="H38" s="31" t="e">
        <f>VLOOKUP(B38,#REF!,4)</f>
        <v>#REF!</v>
      </c>
      <c r="I38" s="22">
        <f>'WF Need'!AB42</f>
        <v>153053478.82854664</v>
      </c>
      <c r="J38" s="14" t="e">
        <f>VLOOKUP(B38,#REF!,6)</f>
        <v>#REF!</v>
      </c>
      <c r="K38" s="23" t="e">
        <f>VLOOKUP(B38,#REF!,7)</f>
        <v>#REF!</v>
      </c>
      <c r="M38" s="31" t="e">
        <f t="shared" si="5"/>
        <v>#REF!</v>
      </c>
      <c r="N38" s="36" t="e">
        <f t="shared" si="6"/>
        <v>#REF!</v>
      </c>
      <c r="O38" s="22">
        <f t="shared" si="7"/>
        <v>2315754.0020428002</v>
      </c>
      <c r="P38" s="37">
        <f t="shared" si="8"/>
        <v>1.5362803204759707E-2</v>
      </c>
    </row>
    <row r="39" spans="2:16" ht="15" x14ac:dyDescent="0.25">
      <c r="B39" s="18" t="s">
        <v>59</v>
      </c>
      <c r="C39" s="22">
        <v>165997651</v>
      </c>
      <c r="D39" s="22">
        <v>191973298.28819248</v>
      </c>
      <c r="E39" s="14">
        <f t="shared" si="2"/>
        <v>0.86469135280888099</v>
      </c>
      <c r="F39" s="23" t="e">
        <f>VLOOKUP(B39,#REF!,5)</f>
        <v>#REF!</v>
      </c>
      <c r="H39" s="31" t="e">
        <f>VLOOKUP(B39,#REF!,4)</f>
        <v>#REF!</v>
      </c>
      <c r="I39" s="22">
        <f>'WF Need'!AB43</f>
        <v>184697021.20430306</v>
      </c>
      <c r="J39" s="14" t="e">
        <f>VLOOKUP(B39,#REF!,6)</f>
        <v>#REF!</v>
      </c>
      <c r="K39" s="23" t="e">
        <f>VLOOKUP(B39,#REF!,7)</f>
        <v>#REF!</v>
      </c>
      <c r="M39" s="31" t="e">
        <f t="shared" si="5"/>
        <v>#REF!</v>
      </c>
      <c r="N39" s="36" t="e">
        <f t="shared" si="6"/>
        <v>#REF!</v>
      </c>
      <c r="O39" s="22">
        <f t="shared" si="7"/>
        <v>-7276277.0838894248</v>
      </c>
      <c r="P39" s="37">
        <f t="shared" si="8"/>
        <v>-3.7902547639548263E-2</v>
      </c>
    </row>
    <row r="40" spans="2:16" ht="15" x14ac:dyDescent="0.25">
      <c r="B40" s="18" t="s">
        <v>60</v>
      </c>
      <c r="C40" s="22">
        <v>63735563</v>
      </c>
      <c r="D40" s="22">
        <v>62252777.56224785</v>
      </c>
      <c r="E40" s="14">
        <f t="shared" si="2"/>
        <v>1.0238187836080002</v>
      </c>
      <c r="F40" s="23" t="e">
        <f>VLOOKUP(B40,#REF!,5)</f>
        <v>#REF!</v>
      </c>
      <c r="H40" s="31" t="e">
        <f>VLOOKUP(B40,#REF!,4)</f>
        <v>#REF!</v>
      </c>
      <c r="I40" s="22">
        <f>'WF Need'!AB44</f>
        <v>56836451.907024495</v>
      </c>
      <c r="J40" s="14" t="e">
        <f>VLOOKUP(B40,#REF!,6)</f>
        <v>#REF!</v>
      </c>
      <c r="K40" s="23" t="e">
        <f>VLOOKUP(B40,#REF!,7)</f>
        <v>#REF!</v>
      </c>
      <c r="M40" s="31" t="e">
        <f t="shared" si="5"/>
        <v>#REF!</v>
      </c>
      <c r="N40" s="36" t="e">
        <f t="shared" si="6"/>
        <v>#REF!</v>
      </c>
      <c r="O40" s="22">
        <f t="shared" si="7"/>
        <v>-5416325.6552233547</v>
      </c>
      <c r="P40" s="37">
        <f t="shared" si="8"/>
        <v>-8.7005365339842988E-2</v>
      </c>
    </row>
    <row r="41" spans="2:16" ht="15" x14ac:dyDescent="0.25">
      <c r="B41" s="18" t="s">
        <v>45</v>
      </c>
      <c r="C41" s="22">
        <v>48184158.25</v>
      </c>
      <c r="D41" s="22">
        <v>56687245.187506467</v>
      </c>
      <c r="E41" s="14">
        <f t="shared" si="2"/>
        <v>0.84999999718842401</v>
      </c>
      <c r="F41" s="23" t="e">
        <f>VLOOKUP(B41,#REF!,5)</f>
        <v>#REF!</v>
      </c>
      <c r="H41" s="31" t="e">
        <f>VLOOKUP(B41,#REF!,4)</f>
        <v>#REF!</v>
      </c>
      <c r="I41" s="22">
        <f>'WF Need'!AB45</f>
        <v>55277714.084402643</v>
      </c>
      <c r="J41" s="14" t="e">
        <f>VLOOKUP(B41,#REF!,6)</f>
        <v>#REF!</v>
      </c>
      <c r="K41" s="23" t="e">
        <f>VLOOKUP(B41,#REF!,7)</f>
        <v>#REF!</v>
      </c>
      <c r="M41" s="31" t="e">
        <f t="shared" si="5"/>
        <v>#REF!</v>
      </c>
      <c r="N41" s="36" t="e">
        <f t="shared" si="6"/>
        <v>#REF!</v>
      </c>
      <c r="O41" s="22">
        <f t="shared" si="7"/>
        <v>-1409531.103103824</v>
      </c>
      <c r="P41" s="37">
        <f t="shared" si="8"/>
        <v>-2.4865048538546309E-2</v>
      </c>
    </row>
    <row r="42" spans="2:16" ht="15" x14ac:dyDescent="0.25">
      <c r="B42" s="18" t="s">
        <v>32</v>
      </c>
      <c r="C42" s="22">
        <v>17456682.899999999</v>
      </c>
      <c r="D42" s="22">
        <v>20537274.273800369</v>
      </c>
      <c r="E42" s="14">
        <f t="shared" si="2"/>
        <v>0.84999998866790638</v>
      </c>
      <c r="F42" s="23" t="e">
        <f>VLOOKUP(B42,#REF!,5)</f>
        <v>#REF!</v>
      </c>
      <c r="H42" s="31" t="e">
        <f>VLOOKUP(B42,#REF!,4)</f>
        <v>#REF!</v>
      </c>
      <c r="I42" s="22">
        <f>'WF Need'!AB46</f>
        <v>19973483.629517503</v>
      </c>
      <c r="J42" s="14" t="e">
        <f>VLOOKUP(B42,#REF!,6)</f>
        <v>#REF!</v>
      </c>
      <c r="K42" s="23" t="e">
        <f>VLOOKUP(B42,#REF!,7)</f>
        <v>#REF!</v>
      </c>
      <c r="M42" s="31" t="e">
        <f t="shared" si="5"/>
        <v>#REF!</v>
      </c>
      <c r="N42" s="36" t="e">
        <f t="shared" si="6"/>
        <v>#REF!</v>
      </c>
      <c r="O42" s="22">
        <f t="shared" si="7"/>
        <v>-563790.64428286627</v>
      </c>
      <c r="P42" s="37">
        <f t="shared" si="8"/>
        <v>-2.7452067726538586E-2</v>
      </c>
    </row>
    <row r="43" spans="2:16" ht="15" x14ac:dyDescent="0.25">
      <c r="B43" s="18" t="s">
        <v>46</v>
      </c>
      <c r="C43" s="22">
        <v>42484708</v>
      </c>
      <c r="D43" s="22">
        <v>48051532.490990616</v>
      </c>
      <c r="E43" s="14">
        <f t="shared" si="2"/>
        <v>0.88414886680181604</v>
      </c>
      <c r="F43" s="23" t="e">
        <f>VLOOKUP(B43,#REF!,5)</f>
        <v>#REF!</v>
      </c>
      <c r="H43" s="31" t="e">
        <f>VLOOKUP(B43,#REF!,4)</f>
        <v>#REF!</v>
      </c>
      <c r="I43" s="22">
        <f>'WF Need'!AB47</f>
        <v>47815932.007248364</v>
      </c>
      <c r="J43" s="14" t="e">
        <f>VLOOKUP(B43,#REF!,6)</f>
        <v>#REF!</v>
      </c>
      <c r="K43" s="23" t="e">
        <f>VLOOKUP(B43,#REF!,7)</f>
        <v>#REF!</v>
      </c>
      <c r="M43" s="31" t="e">
        <f t="shared" si="5"/>
        <v>#REF!</v>
      </c>
      <c r="N43" s="36" t="e">
        <f t="shared" si="6"/>
        <v>#REF!</v>
      </c>
      <c r="O43" s="22">
        <f t="shared" si="7"/>
        <v>-235600.48374225199</v>
      </c>
      <c r="P43" s="37">
        <f t="shared" si="8"/>
        <v>-4.9030794967137772E-3</v>
      </c>
    </row>
    <row r="44" spans="2:16" ht="15" x14ac:dyDescent="0.25">
      <c r="B44" s="18" t="s">
        <v>47</v>
      </c>
      <c r="C44" s="22">
        <v>26277821</v>
      </c>
      <c r="D44" s="22">
        <v>30835346.898725338</v>
      </c>
      <c r="E44" s="14">
        <f t="shared" si="2"/>
        <v>0.85219800141396385</v>
      </c>
      <c r="F44" s="23" t="e">
        <f>VLOOKUP(B44,#REF!,5)</f>
        <v>#REF!</v>
      </c>
      <c r="H44" s="31" t="e">
        <f>VLOOKUP(B44,#REF!,4)</f>
        <v>#REF!</v>
      </c>
      <c r="I44" s="22">
        <f>'WF Need'!AB48</f>
        <v>28186947.624820523</v>
      </c>
      <c r="J44" s="14" t="e">
        <f>VLOOKUP(B44,#REF!,6)</f>
        <v>#REF!</v>
      </c>
      <c r="K44" s="23" t="e">
        <f>VLOOKUP(B44,#REF!,7)</f>
        <v>#REF!</v>
      </c>
      <c r="M44" s="31" t="e">
        <f t="shared" si="5"/>
        <v>#REF!</v>
      </c>
      <c r="N44" s="36" t="e">
        <f t="shared" si="6"/>
        <v>#REF!</v>
      </c>
      <c r="O44" s="22">
        <f t="shared" si="7"/>
        <v>-2648399.2739048153</v>
      </c>
      <c r="P44" s="37">
        <f t="shared" si="8"/>
        <v>-8.5888421576807164E-2</v>
      </c>
    </row>
    <row r="45" spans="2:16" ht="15" x14ac:dyDescent="0.25">
      <c r="B45" s="18" t="s">
        <v>61</v>
      </c>
      <c r="C45" s="22">
        <v>88862335.399999991</v>
      </c>
      <c r="D45" s="22">
        <v>104543924.35035498</v>
      </c>
      <c r="E45" s="14">
        <f t="shared" si="2"/>
        <v>0.84999999715141983</v>
      </c>
      <c r="F45" s="23" t="e">
        <f>VLOOKUP(B45,#REF!,5)</f>
        <v>#REF!</v>
      </c>
      <c r="H45" s="31" t="e">
        <f>VLOOKUP(B45,#REF!,4)</f>
        <v>#REF!</v>
      </c>
      <c r="I45" s="22">
        <f>'WF Need'!AB49</f>
        <v>100038958.26250994</v>
      </c>
      <c r="J45" s="14" t="e">
        <f>VLOOKUP(B45,#REF!,6)</f>
        <v>#REF!</v>
      </c>
      <c r="K45" s="23" t="e">
        <f>VLOOKUP(B45,#REF!,7)</f>
        <v>#REF!</v>
      </c>
      <c r="M45" s="31" t="e">
        <f t="shared" si="5"/>
        <v>#REF!</v>
      </c>
      <c r="N45" s="36" t="e">
        <f t="shared" si="6"/>
        <v>#REF!</v>
      </c>
      <c r="O45" s="22">
        <f t="shared" si="7"/>
        <v>-4504966.0878450423</v>
      </c>
      <c r="P45" s="37">
        <f t="shared" si="8"/>
        <v>-4.3091610687462638E-2</v>
      </c>
    </row>
    <row r="46" spans="2:16" ht="15" x14ac:dyDescent="0.25">
      <c r="B46" s="18" t="s">
        <v>33</v>
      </c>
      <c r="C46" s="22">
        <v>15796262.299999999</v>
      </c>
      <c r="D46" s="22">
        <v>18583837.73710452</v>
      </c>
      <c r="E46" s="14">
        <f t="shared" si="2"/>
        <v>0.85000001202448927</v>
      </c>
      <c r="F46" s="23" t="e">
        <f>VLOOKUP(B46,#REF!,5)</f>
        <v>#REF!</v>
      </c>
      <c r="H46" s="31" t="e">
        <f>VLOOKUP(B46,#REF!,4)</f>
        <v>#REF!</v>
      </c>
      <c r="I46" s="22">
        <f>'WF Need'!AB50</f>
        <v>17999527.465484153</v>
      </c>
      <c r="J46" s="14" t="e">
        <f>VLOOKUP(B46,#REF!,6)</f>
        <v>#REF!</v>
      </c>
      <c r="K46" s="23" t="e">
        <f>VLOOKUP(B46,#REF!,7)</f>
        <v>#REF!</v>
      </c>
      <c r="M46" s="31" t="e">
        <f t="shared" si="5"/>
        <v>#REF!</v>
      </c>
      <c r="N46" s="36" t="e">
        <f t="shared" si="6"/>
        <v>#REF!</v>
      </c>
      <c r="O46" s="22">
        <f t="shared" si="7"/>
        <v>-584310.27162036672</v>
      </c>
      <c r="P46" s="37">
        <f t="shared" si="8"/>
        <v>-3.1441851779287329E-2</v>
      </c>
    </row>
    <row r="47" spans="2:16" ht="15" x14ac:dyDescent="0.25">
      <c r="B47" s="18" t="s">
        <v>34</v>
      </c>
      <c r="C47" s="22">
        <v>14391215.699999999</v>
      </c>
      <c r="D47" s="22">
        <v>16930842.38751762</v>
      </c>
      <c r="E47" s="14">
        <f t="shared" si="2"/>
        <v>0.84999998054497405</v>
      </c>
      <c r="F47" s="23" t="e">
        <f>VLOOKUP(B47,#REF!,5)</f>
        <v>#REF!</v>
      </c>
      <c r="H47" s="31" t="e">
        <f>VLOOKUP(B47,#REF!,4)</f>
        <v>#REF!</v>
      </c>
      <c r="I47" s="22">
        <f>'WF Need'!AB51</f>
        <v>17175140.008784495</v>
      </c>
      <c r="J47" s="14" t="e">
        <f>VLOOKUP(B47,#REF!,6)</f>
        <v>#REF!</v>
      </c>
      <c r="K47" s="23" t="e">
        <f>VLOOKUP(B47,#REF!,7)</f>
        <v>#REF!</v>
      </c>
      <c r="M47" s="31" t="e">
        <f t="shared" si="5"/>
        <v>#REF!</v>
      </c>
      <c r="N47" s="36" t="e">
        <f t="shared" si="6"/>
        <v>#REF!</v>
      </c>
      <c r="O47" s="22">
        <f t="shared" si="7"/>
        <v>244297.62126687542</v>
      </c>
      <c r="P47" s="37">
        <f t="shared" si="8"/>
        <v>1.4429147450276044E-2</v>
      </c>
    </row>
    <row r="48" spans="2:16" ht="15" x14ac:dyDescent="0.25">
      <c r="B48" s="18" t="s">
        <v>17</v>
      </c>
      <c r="C48" s="22">
        <v>800000</v>
      </c>
      <c r="D48" s="22">
        <v>405753.6521603986</v>
      </c>
      <c r="E48" s="14">
        <f t="shared" si="2"/>
        <v>1.9716396777711609</v>
      </c>
      <c r="F48" s="23" t="e">
        <f>VLOOKUP(B48,#REF!,5)</f>
        <v>#REF!</v>
      </c>
      <c r="H48" s="31" t="e">
        <f>VLOOKUP(B48,#REF!,4)</f>
        <v>#REF!</v>
      </c>
      <c r="I48" s="22">
        <f>'WF Need'!AB52</f>
        <v>392700.17586264334</v>
      </c>
      <c r="J48" s="14" t="e">
        <f>VLOOKUP(B48,#REF!,6)</f>
        <v>#REF!</v>
      </c>
      <c r="K48" s="23" t="e">
        <f>VLOOKUP(B48,#REF!,7)</f>
        <v>#REF!</v>
      </c>
      <c r="M48" s="31" t="e">
        <f t="shared" si="5"/>
        <v>#REF!</v>
      </c>
      <c r="N48" s="36" t="e">
        <f t="shared" si="6"/>
        <v>#REF!</v>
      </c>
      <c r="O48" s="22">
        <f t="shared" si="7"/>
        <v>-13053.47629775526</v>
      </c>
      <c r="P48" s="37">
        <f t="shared" si="8"/>
        <v>-3.2170939751874586E-2</v>
      </c>
    </row>
    <row r="49" spans="2:16" ht="15" x14ac:dyDescent="0.25">
      <c r="B49" s="18" t="s">
        <v>35</v>
      </c>
      <c r="C49" s="22">
        <v>3835398.9</v>
      </c>
      <c r="D49" s="22">
        <v>4512233.5287036272</v>
      </c>
      <c r="E49" s="14">
        <f t="shared" si="2"/>
        <v>0.85000008878129074</v>
      </c>
      <c r="F49" s="23" t="e">
        <f>VLOOKUP(B49,#REF!,5)</f>
        <v>#REF!</v>
      </c>
      <c r="H49" s="31" t="e">
        <f>VLOOKUP(B49,#REF!,4)</f>
        <v>#REF!</v>
      </c>
      <c r="I49" s="22">
        <f>'WF Need'!AB53</f>
        <v>4651574.3571456829</v>
      </c>
      <c r="J49" s="14" t="e">
        <f>VLOOKUP(B49,#REF!,6)</f>
        <v>#REF!</v>
      </c>
      <c r="K49" s="23" t="e">
        <f>VLOOKUP(B49,#REF!,7)</f>
        <v>#REF!</v>
      </c>
      <c r="M49" s="31" t="e">
        <f t="shared" si="5"/>
        <v>#REF!</v>
      </c>
      <c r="N49" s="36" t="e">
        <f t="shared" si="6"/>
        <v>#REF!</v>
      </c>
      <c r="O49" s="22">
        <f t="shared" si="7"/>
        <v>139340.82844205573</v>
      </c>
      <c r="P49" s="37">
        <f t="shared" si="8"/>
        <v>3.088067750830454E-2</v>
      </c>
    </row>
    <row r="50" spans="2:16" ht="15" x14ac:dyDescent="0.25">
      <c r="B50" s="18" t="s">
        <v>48</v>
      </c>
      <c r="C50" s="22">
        <v>27509525.800000001</v>
      </c>
      <c r="D50" s="22">
        <v>32364148.222190667</v>
      </c>
      <c r="E50" s="14">
        <f t="shared" si="2"/>
        <v>0.8499999941644667</v>
      </c>
      <c r="F50" s="23" t="e">
        <f>VLOOKUP(B50,#REF!,5)</f>
        <v>#REF!</v>
      </c>
      <c r="H50" s="31" t="e">
        <f>VLOOKUP(B50,#REF!,4)</f>
        <v>#REF!</v>
      </c>
      <c r="I50" s="22">
        <f>'WF Need'!AB54</f>
        <v>31142713.187955298</v>
      </c>
      <c r="J50" s="14" t="e">
        <f>VLOOKUP(B50,#REF!,6)</f>
        <v>#REF!</v>
      </c>
      <c r="K50" s="23" t="e">
        <f>VLOOKUP(B50,#REF!,7)</f>
        <v>#REF!</v>
      </c>
      <c r="M50" s="31" t="e">
        <f t="shared" si="5"/>
        <v>#REF!</v>
      </c>
      <c r="N50" s="36" t="e">
        <f t="shared" si="6"/>
        <v>#REF!</v>
      </c>
      <c r="O50" s="22">
        <f t="shared" si="7"/>
        <v>-1221435.0342353694</v>
      </c>
      <c r="P50" s="37">
        <f t="shared" si="8"/>
        <v>-3.7740373262716842E-2</v>
      </c>
    </row>
    <row r="51" spans="2:16" ht="15" x14ac:dyDescent="0.25">
      <c r="B51" s="18" t="s">
        <v>49</v>
      </c>
      <c r="C51" s="22">
        <v>27941056.349999998</v>
      </c>
      <c r="D51" s="22">
        <v>32871831.367461272</v>
      </c>
      <c r="E51" s="14">
        <f t="shared" si="2"/>
        <v>0.84999999049818431</v>
      </c>
      <c r="F51" s="23" t="e">
        <f>VLOOKUP(B51,#REF!,5)</f>
        <v>#REF!</v>
      </c>
      <c r="H51" s="31" t="e">
        <f>VLOOKUP(B51,#REF!,4)</f>
        <v>#REF!</v>
      </c>
      <c r="I51" s="22">
        <f>'WF Need'!AB55</f>
        <v>32952276.990694281</v>
      </c>
      <c r="J51" s="14" t="e">
        <f>VLOOKUP(B51,#REF!,6)</f>
        <v>#REF!</v>
      </c>
      <c r="K51" s="23" t="e">
        <f>VLOOKUP(B51,#REF!,7)</f>
        <v>#REF!</v>
      </c>
      <c r="M51" s="31" t="e">
        <f t="shared" si="5"/>
        <v>#REF!</v>
      </c>
      <c r="N51" s="36" t="e">
        <f t="shared" si="6"/>
        <v>#REF!</v>
      </c>
      <c r="O51" s="22">
        <f t="shared" si="7"/>
        <v>80445.62323300913</v>
      </c>
      <c r="P51" s="37">
        <f t="shared" si="8"/>
        <v>2.4472510318557903E-3</v>
      </c>
    </row>
    <row r="52" spans="2:16" ht="15" x14ac:dyDescent="0.25">
      <c r="B52" s="18" t="s">
        <v>50</v>
      </c>
      <c r="C52" s="22">
        <v>29989740.800000001</v>
      </c>
      <c r="D52" s="22">
        <v>35282048.399092562</v>
      </c>
      <c r="E52" s="14">
        <f t="shared" si="2"/>
        <v>0.84999999038523288</v>
      </c>
      <c r="F52" s="23" t="e">
        <f>VLOOKUP(B52,#REF!,5)</f>
        <v>#REF!</v>
      </c>
      <c r="H52" s="31" t="e">
        <f>VLOOKUP(B52,#REF!,4)</f>
        <v>#REF!</v>
      </c>
      <c r="I52" s="22">
        <f>'WF Need'!AB56</f>
        <v>34109559.111990288</v>
      </c>
      <c r="J52" s="14" t="e">
        <f>VLOOKUP(B52,#REF!,6)</f>
        <v>#REF!</v>
      </c>
      <c r="K52" s="23" t="e">
        <f>VLOOKUP(B52,#REF!,7)</f>
        <v>#REF!</v>
      </c>
      <c r="M52" s="31" t="e">
        <f t="shared" si="5"/>
        <v>#REF!</v>
      </c>
      <c r="N52" s="36" t="e">
        <f t="shared" si="6"/>
        <v>#REF!</v>
      </c>
      <c r="O52" s="22">
        <f t="shared" si="7"/>
        <v>-1172489.2871022746</v>
      </c>
      <c r="P52" s="37">
        <f t="shared" si="8"/>
        <v>-3.3231893846969229E-2</v>
      </c>
    </row>
    <row r="53" spans="2:16" ht="15" x14ac:dyDescent="0.25">
      <c r="B53" s="18" t="s">
        <v>36</v>
      </c>
      <c r="C53" s="22">
        <v>7805652.8499999996</v>
      </c>
      <c r="D53" s="22">
        <v>9183120.7926147375</v>
      </c>
      <c r="E53" s="14">
        <f t="shared" si="2"/>
        <v>0.85000001919581336</v>
      </c>
      <c r="F53" s="23" t="e">
        <f>VLOOKUP(B53,#REF!,5)</f>
        <v>#REF!</v>
      </c>
      <c r="H53" s="31" t="e">
        <f>VLOOKUP(B53,#REF!,4)</f>
        <v>#REF!</v>
      </c>
      <c r="I53" s="22">
        <f>'WF Need'!AB57</f>
        <v>8690113.6610422228</v>
      </c>
      <c r="J53" s="14" t="e">
        <f>VLOOKUP(B53,#REF!,6)</f>
        <v>#REF!</v>
      </c>
      <c r="K53" s="23" t="e">
        <f>VLOOKUP(B53,#REF!,7)</f>
        <v>#REF!</v>
      </c>
      <c r="M53" s="31" t="e">
        <f t="shared" si="5"/>
        <v>#REF!</v>
      </c>
      <c r="N53" s="36" t="e">
        <f t="shared" si="6"/>
        <v>#REF!</v>
      </c>
      <c r="O53" s="22">
        <f t="shared" si="7"/>
        <v>-493007.13157251477</v>
      </c>
      <c r="P53" s="37">
        <f t="shared" si="8"/>
        <v>-5.3686229627840858E-2</v>
      </c>
    </row>
    <row r="54" spans="2:16" ht="15" x14ac:dyDescent="0.25">
      <c r="B54" s="18" t="s">
        <v>37</v>
      </c>
      <c r="C54" s="22">
        <v>5447312</v>
      </c>
      <c r="D54" s="22">
        <v>6309266.3502482707</v>
      </c>
      <c r="E54" s="14">
        <f t="shared" si="2"/>
        <v>0.86338279248357419</v>
      </c>
      <c r="F54" s="23" t="e">
        <f>VLOOKUP(B54,#REF!,5)</f>
        <v>#REF!</v>
      </c>
      <c r="H54" s="31" t="e">
        <f>VLOOKUP(B54,#REF!,4)</f>
        <v>#REF!</v>
      </c>
      <c r="I54" s="22">
        <f>'WF Need'!AB58</f>
        <v>6362648.1252815537</v>
      </c>
      <c r="J54" s="14" t="e">
        <f>VLOOKUP(B54,#REF!,6)</f>
        <v>#REF!</v>
      </c>
      <c r="K54" s="23" t="e">
        <f>VLOOKUP(B54,#REF!,7)</f>
        <v>#REF!</v>
      </c>
      <c r="M54" s="31" t="e">
        <f t="shared" si="5"/>
        <v>#REF!</v>
      </c>
      <c r="N54" s="36" t="e">
        <f t="shared" si="6"/>
        <v>#REF!</v>
      </c>
      <c r="O54" s="22">
        <f t="shared" si="7"/>
        <v>53381.775033283047</v>
      </c>
      <c r="P54" s="37">
        <f t="shared" si="8"/>
        <v>8.4608529850990471E-3</v>
      </c>
    </row>
    <row r="55" spans="2:16" ht="15" x14ac:dyDescent="0.25">
      <c r="B55" s="18" t="s">
        <v>18</v>
      </c>
      <c r="C55" s="22">
        <v>1916942</v>
      </c>
      <c r="D55" s="22">
        <v>1957377.02822892</v>
      </c>
      <c r="E55" s="14">
        <f t="shared" si="2"/>
        <v>0.97934223828839628</v>
      </c>
      <c r="F55" s="23" t="e">
        <f>VLOOKUP(B55,#REF!,5)</f>
        <v>#REF!</v>
      </c>
      <c r="H55" s="31" t="e">
        <f>VLOOKUP(B55,#REF!,4)</f>
        <v>#REF!</v>
      </c>
      <c r="I55" s="22">
        <f>'WF Need'!AB59</f>
        <v>1926810.4636085078</v>
      </c>
      <c r="J55" s="14" t="e">
        <f>VLOOKUP(B55,#REF!,6)</f>
        <v>#REF!</v>
      </c>
      <c r="K55" s="23" t="e">
        <f>VLOOKUP(B55,#REF!,7)</f>
        <v>#REF!</v>
      </c>
      <c r="M55" s="31" t="e">
        <f t="shared" si="5"/>
        <v>#REF!</v>
      </c>
      <c r="N55" s="36" t="e">
        <f t="shared" si="6"/>
        <v>#REF!</v>
      </c>
      <c r="O55" s="22">
        <f t="shared" si="7"/>
        <v>-30566.564620412188</v>
      </c>
      <c r="P55" s="37">
        <f t="shared" si="8"/>
        <v>-1.5616084269707366E-2</v>
      </c>
    </row>
    <row r="56" spans="2:16" ht="15" x14ac:dyDescent="0.25">
      <c r="B56" s="18" t="s">
        <v>51</v>
      </c>
      <c r="C56" s="22">
        <v>28543617.099999998</v>
      </c>
      <c r="D56" s="22">
        <v>33580725.53291133</v>
      </c>
      <c r="E56" s="14">
        <f t="shared" si="2"/>
        <v>0.85000001182301332</v>
      </c>
      <c r="F56" s="23" t="e">
        <f>VLOOKUP(B56,#REF!,5)</f>
        <v>#REF!</v>
      </c>
      <c r="H56" s="31" t="e">
        <f>VLOOKUP(B56,#REF!,4)</f>
        <v>#REF!</v>
      </c>
      <c r="I56" s="22">
        <f>'WF Need'!AB60</f>
        <v>33983657.826099403</v>
      </c>
      <c r="J56" s="14" t="e">
        <f>VLOOKUP(B56,#REF!,6)</f>
        <v>#REF!</v>
      </c>
      <c r="K56" s="23" t="e">
        <f>VLOOKUP(B56,#REF!,7)</f>
        <v>#REF!</v>
      </c>
      <c r="M56" s="31" t="e">
        <f t="shared" si="5"/>
        <v>#REF!</v>
      </c>
      <c r="N56" s="36" t="e">
        <f t="shared" si="6"/>
        <v>#REF!</v>
      </c>
      <c r="O56" s="22">
        <f t="shared" si="7"/>
        <v>402932.29318807274</v>
      </c>
      <c r="P56" s="37">
        <f t="shared" si="8"/>
        <v>1.1998915651574366E-2</v>
      </c>
    </row>
    <row r="57" spans="2:16" ht="15" x14ac:dyDescent="0.25">
      <c r="B57" s="18" t="s">
        <v>38</v>
      </c>
      <c r="C57" s="22">
        <v>4447375</v>
      </c>
      <c r="D57" s="22">
        <v>4989741.3203672785</v>
      </c>
      <c r="E57" s="14">
        <f t="shared" si="2"/>
        <v>0.89130371986350654</v>
      </c>
      <c r="F57" s="23" t="e">
        <f>VLOOKUP(B57,#REF!,5)</f>
        <v>#REF!</v>
      </c>
      <c r="H57" s="31" t="e">
        <f>VLOOKUP(B57,#REF!,4)</f>
        <v>#REF!</v>
      </c>
      <c r="I57" s="22">
        <f>'WF Need'!AB61</f>
        <v>5065303.3962383522</v>
      </c>
      <c r="J57" s="14" t="e">
        <f>VLOOKUP(B57,#REF!,6)</f>
        <v>#REF!</v>
      </c>
      <c r="K57" s="23" t="e">
        <f>VLOOKUP(B57,#REF!,7)</f>
        <v>#REF!</v>
      </c>
      <c r="M57" s="31" t="e">
        <f t="shared" si="5"/>
        <v>#REF!</v>
      </c>
      <c r="N57" s="36" t="e">
        <f t="shared" si="6"/>
        <v>#REF!</v>
      </c>
      <c r="O57" s="22">
        <f t="shared" si="7"/>
        <v>75562.075871073641</v>
      </c>
      <c r="P57" s="37">
        <f t="shared" si="8"/>
        <v>1.514348560768913E-2</v>
      </c>
    </row>
    <row r="58" spans="2:16" ht="15" x14ac:dyDescent="0.25">
      <c r="B58" s="18" t="s">
        <v>52</v>
      </c>
      <c r="C58" s="22">
        <v>43266489.199999996</v>
      </c>
      <c r="D58" s="22">
        <v>50901751.759995237</v>
      </c>
      <c r="E58" s="14">
        <f t="shared" si="2"/>
        <v>0.85000000400780007</v>
      </c>
      <c r="F58" s="23" t="e">
        <f>VLOOKUP(B58,#REF!,5)</f>
        <v>#REF!</v>
      </c>
      <c r="H58" s="31" t="e">
        <f>VLOOKUP(B58,#REF!,4)</f>
        <v>#REF!</v>
      </c>
      <c r="I58" s="22">
        <f>'WF Need'!AB62</f>
        <v>47700001.940085933</v>
      </c>
      <c r="J58" s="14" t="e">
        <f>VLOOKUP(B58,#REF!,6)</f>
        <v>#REF!</v>
      </c>
      <c r="K58" s="23" t="e">
        <f>VLOOKUP(B58,#REF!,7)</f>
        <v>#REF!</v>
      </c>
      <c r="M58" s="31" t="e">
        <f t="shared" si="5"/>
        <v>#REF!</v>
      </c>
      <c r="N58" s="36" t="e">
        <f t="shared" si="6"/>
        <v>#REF!</v>
      </c>
      <c r="O58" s="22">
        <f t="shared" si="7"/>
        <v>-3201749.8199093044</v>
      </c>
      <c r="P58" s="37">
        <f t="shared" si="8"/>
        <v>-6.2900582184396009E-2</v>
      </c>
    </row>
    <row r="59" spans="2:16" ht="15" x14ac:dyDescent="0.25">
      <c r="B59" s="18" t="s">
        <v>39</v>
      </c>
      <c r="C59" s="22">
        <v>14966761.75</v>
      </c>
      <c r="D59" s="22">
        <v>17607955.335067444</v>
      </c>
      <c r="E59" s="14">
        <f t="shared" si="2"/>
        <v>0.84999998382507669</v>
      </c>
      <c r="F59" s="23" t="e">
        <f>VLOOKUP(B59,#REF!,5)</f>
        <v>#REF!</v>
      </c>
      <c r="H59" s="31" t="e">
        <f>VLOOKUP(B59,#REF!,4)</f>
        <v>#REF!</v>
      </c>
      <c r="I59" s="22">
        <f>'WF Need'!AB63</f>
        <v>16635552.585075151</v>
      </c>
      <c r="J59" s="14" t="e">
        <f>VLOOKUP(B59,#REF!,6)</f>
        <v>#REF!</v>
      </c>
      <c r="K59" s="23" t="e">
        <f>VLOOKUP(B59,#REF!,7)</f>
        <v>#REF!</v>
      </c>
      <c r="M59" s="31" t="e">
        <f t="shared" si="5"/>
        <v>#REF!</v>
      </c>
      <c r="N59" s="36" t="e">
        <f t="shared" si="6"/>
        <v>#REF!</v>
      </c>
      <c r="O59" s="22">
        <f t="shared" si="7"/>
        <v>-972402.74999229237</v>
      </c>
      <c r="P59" s="37">
        <f t="shared" si="8"/>
        <v>-5.5225194038042907E-2</v>
      </c>
    </row>
    <row r="60" spans="2:16" thickBot="1" x14ac:dyDescent="0.3">
      <c r="B60" s="24" t="s">
        <v>40</v>
      </c>
      <c r="C60" s="25">
        <v>5898802</v>
      </c>
      <c r="D60" s="25">
        <v>5150429.0825688168</v>
      </c>
      <c r="E60" s="14">
        <f t="shared" si="2"/>
        <v>1.1453030233857577</v>
      </c>
      <c r="F60" s="27" t="e">
        <f>VLOOKUP(B60,#REF!,5)</f>
        <v>#REF!</v>
      </c>
      <c r="H60" s="32" t="e">
        <f>VLOOKUP(B60,#REF!,4)</f>
        <v>#REF!</v>
      </c>
      <c r="I60" s="22">
        <f>'WF Need'!AB64</f>
        <v>5301564.6721998379</v>
      </c>
      <c r="J60" s="26" t="e">
        <f>VLOOKUP(B60,#REF!,6)</f>
        <v>#REF!</v>
      </c>
      <c r="K60" s="27" t="e">
        <f>VLOOKUP(B60,#REF!,7)</f>
        <v>#REF!</v>
      </c>
      <c r="M60" s="32" t="e">
        <f t="shared" si="5"/>
        <v>#REF!</v>
      </c>
      <c r="N60" s="38" t="e">
        <f t="shared" si="6"/>
        <v>#REF!</v>
      </c>
      <c r="O60" s="25">
        <f t="shared" si="7"/>
        <v>151135.58963102102</v>
      </c>
      <c r="P60" s="39">
        <f>O60/D60</f>
        <v>2.9344271556427482E-2</v>
      </c>
    </row>
    <row r="61" spans="2:16" s="3" customFormat="1" ht="15" x14ac:dyDescent="0.25">
      <c r="B61" s="21" t="s">
        <v>0</v>
      </c>
      <c r="C61" s="13">
        <v>2374789441.9000001</v>
      </c>
      <c r="D61" s="13">
        <v>2754156851.2087941</v>
      </c>
      <c r="E61" s="14">
        <f t="shared" si="2"/>
        <v>0.86225642554007398</v>
      </c>
      <c r="H61" s="33" t="e">
        <f>SUM(H3:H60)</f>
        <v>#REF!</v>
      </c>
      <c r="I61" s="33">
        <f>SUM(I3:I60)</f>
        <v>2679306169.9005709</v>
      </c>
      <c r="J61" s="34" t="e">
        <f>VLOOKUP(B61,#REF!,6)</f>
        <v>#REF!</v>
      </c>
      <c r="M61" s="13"/>
      <c r="N61" s="13"/>
      <c r="O61" s="13">
        <f t="shared" ref="O61" si="9">SUM(O3:O60)</f>
        <v>-74850681.308223709</v>
      </c>
      <c r="P61" s="40">
        <f t="shared" si="8"/>
        <v>-2.7177348768415963E-2</v>
      </c>
    </row>
    <row r="62" spans="2:16" ht="15" x14ac:dyDescent="0.25">
      <c r="B62" s="19"/>
    </row>
  </sheetData>
  <conditionalFormatting sqref="P3:P61">
    <cfRule type="colorScale" priority="1">
      <colorScale>
        <cfvo type="min"/>
        <cfvo type="percentile" val="50"/>
        <cfvo type="max"/>
        <color rgb="FFF8696B"/>
        <color rgb="FFFCFCFF"/>
        <color rgb="FF63BE7B"/>
      </colorScale>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pageSetUpPr fitToPage="1"/>
  </sheetPr>
  <dimension ref="A1:AD75"/>
  <sheetViews>
    <sheetView tabSelected="1" view="pageBreakPreview" zoomScaleNormal="100"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140625" defaultRowHeight="15.75" x14ac:dyDescent="0.25"/>
  <cols>
    <col min="1" max="1" width="7.140625" style="45" customWidth="1"/>
    <col min="2" max="2" width="14.85546875" style="64" bestFit="1" customWidth="1"/>
    <col min="3" max="3" width="1.85546875" style="64" customWidth="1"/>
    <col min="4" max="4" width="12.140625" style="64" customWidth="1"/>
    <col min="5" max="5" width="13.140625" style="64" bestFit="1" customWidth="1"/>
    <col min="6" max="6" width="9.140625" style="64" customWidth="1"/>
    <col min="7" max="7" width="1.85546875" style="64" customWidth="1"/>
    <col min="8" max="8" width="15.85546875" style="64" bestFit="1" customWidth="1"/>
    <col min="9" max="9" width="16.85546875" style="64" bestFit="1" customWidth="1"/>
    <col min="10" max="10" width="16.140625" style="64" bestFit="1" customWidth="1"/>
    <col min="11" max="11" width="13.140625" style="64" bestFit="1" customWidth="1"/>
    <col min="12" max="12" width="15" style="64" bestFit="1" customWidth="1"/>
    <col min="13" max="13" width="1.85546875" style="64" customWidth="1"/>
    <col min="14" max="14" width="10.85546875" style="64" customWidth="1"/>
    <col min="15" max="15" width="19.85546875" style="64" bestFit="1" customWidth="1"/>
    <col min="16" max="16" width="1.85546875" style="64" customWidth="1"/>
    <col min="17" max="18" width="12.140625" style="64" bestFit="1" customWidth="1"/>
    <col min="19" max="19" width="15" style="64" bestFit="1" customWidth="1"/>
    <col min="20" max="20" width="13.5703125" style="64" customWidth="1"/>
    <col min="21" max="21" width="17.140625" style="64" bestFit="1" customWidth="1"/>
    <col min="22" max="22" width="17.42578125" style="64" bestFit="1" customWidth="1"/>
    <col min="23" max="23" width="17.42578125" style="65" bestFit="1" customWidth="1"/>
    <col min="24" max="24" width="1.85546875" style="64" customWidth="1"/>
    <col min="25" max="25" width="17.42578125" style="64" bestFit="1" customWidth="1"/>
    <col min="26" max="26" width="1.85546875" style="64" customWidth="1"/>
    <col min="27" max="27" width="18.140625" style="64" bestFit="1" customWidth="1"/>
    <col min="28" max="28" width="20.140625" style="66" bestFit="1" customWidth="1"/>
    <col min="29" max="29" width="15.140625" style="64" customWidth="1"/>
    <col min="30" max="30" width="17.42578125" style="57" customWidth="1"/>
    <col min="31" max="16384" width="9.140625" style="64"/>
  </cols>
  <sheetData>
    <row r="1" spans="1:30" s="45" customFormat="1" ht="20.100000000000001" customHeight="1" x14ac:dyDescent="0.25">
      <c r="A1" s="47" t="s">
        <v>221</v>
      </c>
      <c r="C1" s="53"/>
      <c r="D1" s="53"/>
      <c r="E1" s="53"/>
      <c r="F1" s="53"/>
      <c r="G1" s="53"/>
      <c r="H1" s="54"/>
      <c r="I1" s="54"/>
      <c r="J1" s="54"/>
      <c r="K1" s="53"/>
      <c r="L1" s="53"/>
      <c r="M1" s="53"/>
      <c r="N1" s="53"/>
      <c r="O1" s="53"/>
      <c r="P1" s="53"/>
      <c r="Q1" s="53"/>
      <c r="R1" s="53"/>
      <c r="S1" s="53"/>
      <c r="T1" s="53"/>
      <c r="U1" s="53"/>
      <c r="V1" s="53"/>
      <c r="W1" s="53"/>
      <c r="X1" s="53"/>
      <c r="Y1" s="53"/>
      <c r="Z1" s="53"/>
      <c r="AA1" s="53"/>
      <c r="AB1" s="53"/>
      <c r="AC1" s="53"/>
      <c r="AD1" s="44"/>
    </row>
    <row r="2" spans="1:30" s="45" customFormat="1" ht="20.100000000000001" customHeight="1" x14ac:dyDescent="0.25">
      <c r="A2" s="50" t="s">
        <v>241</v>
      </c>
      <c r="C2" s="53"/>
      <c r="D2" s="53"/>
      <c r="E2" s="53"/>
      <c r="F2" s="53"/>
      <c r="G2" s="53"/>
      <c r="H2" s="54"/>
      <c r="I2" s="54"/>
      <c r="J2" s="54"/>
      <c r="K2" s="53"/>
      <c r="L2" s="53"/>
      <c r="M2" s="53"/>
      <c r="N2" s="53"/>
      <c r="O2" s="53"/>
      <c r="P2" s="53"/>
      <c r="Q2" s="53"/>
      <c r="R2" s="53"/>
      <c r="S2" s="53"/>
      <c r="T2" s="53"/>
      <c r="U2" s="53"/>
      <c r="V2" s="53"/>
      <c r="W2" s="53"/>
      <c r="X2" s="53"/>
      <c r="Y2" s="53"/>
      <c r="Z2" s="53"/>
      <c r="AA2" s="53"/>
      <c r="AB2" s="53"/>
      <c r="AC2" s="53"/>
      <c r="AD2" s="44"/>
    </row>
    <row r="3" spans="1:30" s="45" customFormat="1" ht="20.100000000000001" customHeight="1" x14ac:dyDescent="0.25">
      <c r="A3" s="48"/>
      <c r="B3" s="52"/>
      <c r="C3" s="53"/>
      <c r="D3" s="53"/>
      <c r="E3" s="53"/>
      <c r="F3" s="53"/>
      <c r="G3" s="53"/>
      <c r="H3" s="54"/>
      <c r="I3" s="54"/>
      <c r="J3" s="54"/>
      <c r="K3" s="53"/>
      <c r="L3" s="53"/>
      <c r="M3" s="53"/>
      <c r="N3" s="53"/>
      <c r="O3" s="53"/>
      <c r="P3" s="53"/>
      <c r="Q3" s="53"/>
      <c r="R3" s="53"/>
      <c r="S3" s="53"/>
      <c r="T3" s="53"/>
      <c r="U3" s="53"/>
      <c r="V3" s="53"/>
      <c r="W3" s="53"/>
      <c r="X3" s="53"/>
      <c r="Y3" s="53"/>
      <c r="Z3" s="53"/>
      <c r="AA3" s="53"/>
      <c r="AB3" s="53"/>
      <c r="AC3" s="53"/>
      <c r="AD3" s="44"/>
    </row>
    <row r="4" spans="1:30" s="51" customFormat="1" ht="47.1" customHeight="1" x14ac:dyDescent="0.25">
      <c r="A4" s="67"/>
      <c r="B4" s="67"/>
      <c r="C4" s="85"/>
      <c r="D4" s="311" t="s">
        <v>213</v>
      </c>
      <c r="E4" s="312"/>
      <c r="F4" s="312"/>
      <c r="G4" s="85"/>
      <c r="H4" s="320" t="s">
        <v>138</v>
      </c>
      <c r="I4" s="320"/>
      <c r="J4" s="320"/>
      <c r="K4" s="320"/>
      <c r="L4" s="320"/>
      <c r="M4" s="85"/>
      <c r="N4" s="313" t="s">
        <v>147</v>
      </c>
      <c r="O4" s="313"/>
      <c r="P4" s="85"/>
      <c r="Q4" s="316" t="s">
        <v>218</v>
      </c>
      <c r="R4" s="317"/>
      <c r="S4" s="317"/>
      <c r="T4" s="318"/>
      <c r="U4" s="319" t="s">
        <v>149</v>
      </c>
      <c r="V4" s="319"/>
      <c r="W4" s="319"/>
      <c r="X4" s="85"/>
      <c r="Y4" s="310" t="s">
        <v>219</v>
      </c>
      <c r="Z4" s="85"/>
      <c r="AA4" s="44"/>
      <c r="AB4" s="44"/>
      <c r="AC4" s="44"/>
      <c r="AD4" s="44"/>
    </row>
    <row r="5" spans="1:30" s="51" customFormat="1" ht="90" x14ac:dyDescent="0.25">
      <c r="A5" s="314" t="s">
        <v>68</v>
      </c>
      <c r="B5" s="314" t="s">
        <v>63</v>
      </c>
      <c r="C5" s="85"/>
      <c r="D5" s="43" t="s">
        <v>158</v>
      </c>
      <c r="E5" s="43" t="s">
        <v>159</v>
      </c>
      <c r="F5" s="43" t="s">
        <v>137</v>
      </c>
      <c r="G5" s="85"/>
      <c r="H5" s="78" t="s">
        <v>139</v>
      </c>
      <c r="I5" s="78" t="s">
        <v>214</v>
      </c>
      <c r="J5" s="79" t="s">
        <v>215</v>
      </c>
      <c r="K5" s="79" t="s">
        <v>216</v>
      </c>
      <c r="L5" s="78" t="s">
        <v>140</v>
      </c>
      <c r="M5" s="85"/>
      <c r="N5" s="77" t="s">
        <v>217</v>
      </c>
      <c r="O5" s="77" t="s">
        <v>148</v>
      </c>
      <c r="P5" s="85"/>
      <c r="Q5" s="99" t="s">
        <v>150</v>
      </c>
      <c r="R5" s="100" t="s">
        <v>151</v>
      </c>
      <c r="S5" s="99" t="s">
        <v>152</v>
      </c>
      <c r="T5" s="100" t="s">
        <v>153</v>
      </c>
      <c r="U5" s="101" t="s">
        <v>154</v>
      </c>
      <c r="V5" s="101" t="s">
        <v>155</v>
      </c>
      <c r="W5" s="101" t="s">
        <v>67</v>
      </c>
      <c r="X5" s="85"/>
      <c r="Y5" s="310"/>
      <c r="Z5" s="85"/>
      <c r="AA5" s="275" t="s">
        <v>220</v>
      </c>
      <c r="AB5" s="98" t="s">
        <v>206</v>
      </c>
      <c r="AC5" s="98" t="s">
        <v>207</v>
      </c>
      <c r="AD5" s="46"/>
    </row>
    <row r="6" spans="1:30" s="84" customFormat="1" ht="15" customHeight="1" x14ac:dyDescent="0.25">
      <c r="A6" s="315"/>
      <c r="B6" s="315"/>
      <c r="C6" s="86"/>
      <c r="D6" s="82" t="s">
        <v>65</v>
      </c>
      <c r="E6" s="82" t="s">
        <v>1</v>
      </c>
      <c r="F6" s="82" t="s">
        <v>66</v>
      </c>
      <c r="G6" s="86"/>
      <c r="H6" s="82" t="s">
        <v>2</v>
      </c>
      <c r="I6" s="82" t="s">
        <v>3</v>
      </c>
      <c r="J6" s="82" t="s">
        <v>83</v>
      </c>
      <c r="K6" s="82" t="s">
        <v>110</v>
      </c>
      <c r="L6" s="82" t="s">
        <v>84</v>
      </c>
      <c r="M6" s="86"/>
      <c r="N6" s="82" t="s">
        <v>85</v>
      </c>
      <c r="O6" s="82" t="s">
        <v>111</v>
      </c>
      <c r="P6" s="86"/>
      <c r="Q6" s="82" t="s">
        <v>112</v>
      </c>
      <c r="R6" s="82" t="s">
        <v>86</v>
      </c>
      <c r="S6" s="82" t="s">
        <v>76</v>
      </c>
      <c r="T6" s="82" t="s">
        <v>113</v>
      </c>
      <c r="U6" s="82" t="s">
        <v>141</v>
      </c>
      <c r="V6" s="82" t="s">
        <v>142</v>
      </c>
      <c r="W6" s="82" t="s">
        <v>143</v>
      </c>
      <c r="X6" s="86"/>
      <c r="Y6" s="82" t="s">
        <v>144</v>
      </c>
      <c r="Z6" s="86"/>
      <c r="AA6" s="82" t="s">
        <v>145</v>
      </c>
      <c r="AB6" s="82" t="s">
        <v>156</v>
      </c>
      <c r="AC6" s="82" t="s">
        <v>146</v>
      </c>
      <c r="AD6" s="83"/>
    </row>
    <row r="7" spans="1:30" s="55" customFormat="1" ht="20.100000000000001" customHeight="1" x14ac:dyDescent="0.25">
      <c r="A7" s="68">
        <v>4</v>
      </c>
      <c r="B7" s="69" t="s">
        <v>53</v>
      </c>
      <c r="C7" s="85"/>
      <c r="D7" s="70">
        <f>RAS!M7</f>
        <v>459</v>
      </c>
      <c r="E7" s="70">
        <f>RAS!Q7</f>
        <v>75</v>
      </c>
      <c r="F7" s="71">
        <f>SUM(D7:E7)</f>
        <v>534</v>
      </c>
      <c r="G7" s="85"/>
      <c r="H7" s="74">
        <f>(F7-1)*'AVG RAS salary'!$F$66</f>
        <v>37211872.564581975</v>
      </c>
      <c r="I7" s="74">
        <f>(F7-1)*(VLOOKUP(B7,'FTE Allotment Factor'!$B$6:$D$63,3))</f>
        <v>54965120.755551495</v>
      </c>
      <c r="J7" s="74">
        <f>(F7-1)*(VLOOKUP(B7,'FTE Allotment Factor'!$B$6:$H$63,7))</f>
        <v>54965120.755551495</v>
      </c>
      <c r="K7" s="74">
        <f>VLOOKUP(A7,'CEO Salary'!$G$7:$H$13,2)</f>
        <v>276569.54367499996</v>
      </c>
      <c r="L7" s="74">
        <f>IF(N7&lt;&gt;0,N7*K7,K7)</f>
        <v>408516.88769548805</v>
      </c>
      <c r="M7" s="85"/>
      <c r="N7" s="89">
        <f>VLOOKUP(B7,BLS!$B$5:$I$64,8, FALSE)</f>
        <v>1.4770855903625488</v>
      </c>
      <c r="O7" s="93">
        <f>J7+L7</f>
        <v>55373637.643246986</v>
      </c>
      <c r="P7" s="85"/>
      <c r="Q7" s="91">
        <f>VLOOKUP(B7,'Program 10'!$A$7:$G$64,6)</f>
        <v>2.8089858696527598E-2</v>
      </c>
      <c r="R7" s="74">
        <f>VLOOKUP(B7,'Program 10'!$A$7:$G$64,7)</f>
        <v>43755.418926829188</v>
      </c>
      <c r="S7" s="91">
        <f>VLOOKUP(B7,'Program 90'!$A$7:$G$64,6)</f>
        <v>3.255247557221809E-2</v>
      </c>
      <c r="T7" s="74">
        <f>VLOOKUP(B7,'Program 90'!$A$7:$G$64,7)</f>
        <v>53223.60175702977</v>
      </c>
      <c r="U7" s="244">
        <f>(D7*VLOOKUP(B7,'FTE Allotment Factor'!$B$6:$H$63,7,FALSE)*Q7)+(D7*R7)</f>
        <v>21413340.995003358</v>
      </c>
      <c r="V7" s="244">
        <f>((((E7-1)*VLOOKUP(B7,'FTE Allotment Factor'!$B$6:$H$63,7,FALSE))+(K7*N7))*S7)+(T7*E7)</f>
        <v>4253482.1680722339</v>
      </c>
      <c r="W7" s="245">
        <f>SUM(U7:V7)</f>
        <v>25666823.163075592</v>
      </c>
      <c r="X7" s="85"/>
      <c r="Y7" s="245">
        <f>F7*(VLOOKUP(A7, 'OE&amp;E by Cluster'!$B$6:$C$9,2,FALSE))</f>
        <v>9319607.8711412288</v>
      </c>
      <c r="Z7" s="85"/>
      <c r="AA7" s="74">
        <f>'AB1058'!E5</f>
        <v>1638776.75</v>
      </c>
      <c r="AB7" s="93">
        <f>(O7+W7+Y7)-AA7</f>
        <v>88721291.9274638</v>
      </c>
      <c r="AC7" s="95">
        <f t="shared" ref="AC7:AC38" si="0">AB7/$AB$65</f>
        <v>3.3113532497391386E-2</v>
      </c>
      <c r="AD7" s="270">
        <f>AB7/F7</f>
        <v>166144.74143719813</v>
      </c>
    </row>
    <row r="8" spans="1:30" s="55" customFormat="1" ht="20.100000000000001" customHeight="1" x14ac:dyDescent="0.25">
      <c r="A8" s="68">
        <v>1</v>
      </c>
      <c r="B8" s="69" t="s">
        <v>4</v>
      </c>
      <c r="D8" s="70">
        <f>RAS!M8</f>
        <v>2</v>
      </c>
      <c r="E8" s="70">
        <f>RAS!Q8</f>
        <v>1</v>
      </c>
      <c r="F8" s="71">
        <f t="shared" ref="F8:F38" si="1">SUM(D8:E8)</f>
        <v>3</v>
      </c>
      <c r="H8" s="75">
        <f>(F8-1)*'AVG RAS salary'!$F$66</f>
        <v>139631.79198717439</v>
      </c>
      <c r="I8" s="75">
        <f>(F8-1)*(VLOOKUP(B8,'FTE Allotment Factor'!$B$6:$D$63,3))</f>
        <v>94815.732221038663</v>
      </c>
      <c r="J8" s="75">
        <f>(F8-1)*(VLOOKUP(B8,'FTE Allotment Factor'!$B$6:$H$63,7))</f>
        <v>105885.98467415867</v>
      </c>
      <c r="K8" s="267">
        <f>VLOOKUP(A8,'CEO Salary'!$G$7:$H$13,2)</f>
        <v>129946.26295999998</v>
      </c>
      <c r="L8" s="267">
        <f>IF(N8&lt;&gt;0,N8*K8,K8)</f>
        <v>88238.859478876766</v>
      </c>
      <c r="N8" s="89">
        <f>VLOOKUP(B8,BLS!$B$5:$I$64,8, FALSE)</f>
        <v>0.67904114723205566</v>
      </c>
      <c r="O8" s="94">
        <f t="shared" ref="O8:O9" si="2">J8+L8</f>
        <v>194124.84415303543</v>
      </c>
      <c r="Q8" s="91">
        <f>VLOOKUP(B8,'Program 10'!$A$7:$G$64,6)</f>
        <v>1.1924613007647166E-2</v>
      </c>
      <c r="R8" s="9">
        <f>VLOOKUP(B8,'Program 10'!$A$7:$G$64,7)</f>
        <v>54818.17609652174</v>
      </c>
      <c r="S8" s="91">
        <f>VLOOKUP(B8,'Program 90'!$A$7:$G$64,6)</f>
        <v>1.2706269719011268E-2</v>
      </c>
      <c r="T8" s="9">
        <f>VLOOKUP(B8,'Program 90'!$A$7:$G$64,7)</f>
        <v>59225.984590000007</v>
      </c>
      <c r="U8" s="76">
        <f>(D8*VLOOKUP(B8,'FTE Allotment Factor'!$B$7:$H$64,7,FALSE)*Q8)+(D8*R8)</f>
        <v>110899.00158321648</v>
      </c>
      <c r="V8" s="76">
        <f>((((E8-1)*VLOOKUP(B8,'FTE Allotment Factor'!$B$7:$H$64,7,FALSE))+(K8*N8))*S8)+(T8*E8)</f>
        <v>60347.171338236549</v>
      </c>
      <c r="W8" s="94">
        <f t="shared" ref="W8:W38" si="3">SUM(U8:V8)</f>
        <v>171246.17292145302</v>
      </c>
      <c r="Y8" s="94">
        <f>F8*(VLOOKUP(A8, 'OE&amp;E by Cluster'!$B$6:$C$9,2,FALSE))</f>
        <v>84400.550970515949</v>
      </c>
      <c r="AA8" s="267">
        <f>'AB1058'!E6</f>
        <v>0</v>
      </c>
      <c r="AB8" s="94">
        <f t="shared" ref="AB8:AB38" si="4">(O8+W8+Y8)-AA8</f>
        <v>449771.56804500439</v>
      </c>
      <c r="AC8" s="96">
        <f t="shared" si="0"/>
        <v>1.6786867178441775E-4</v>
      </c>
      <c r="AD8" s="57">
        <f t="shared" ref="AD8:AD64" si="5">AB8/F8</f>
        <v>149923.85601500145</v>
      </c>
    </row>
    <row r="9" spans="1:30" s="55" customFormat="1" ht="20.100000000000001" customHeight="1" x14ac:dyDescent="0.25">
      <c r="A9" s="68">
        <v>1</v>
      </c>
      <c r="B9" s="69" t="s">
        <v>5</v>
      </c>
      <c r="D9" s="70">
        <f>RAS!M9</f>
        <v>23</v>
      </c>
      <c r="E9" s="70">
        <f>RAS!Q9</f>
        <v>8</v>
      </c>
      <c r="F9" s="71">
        <f t="shared" si="1"/>
        <v>31</v>
      </c>
      <c r="H9" s="75">
        <f>(F9-1)*'AVG RAS salary'!$F$66</f>
        <v>2094476.8798076159</v>
      </c>
      <c r="I9" s="75">
        <f>(F9-1)*(VLOOKUP(B9,'FTE Allotment Factor'!$B$6:$D$63,3))</f>
        <v>2033399.1398811373</v>
      </c>
      <c r="J9" s="75">
        <f>(F9-1)*(VLOOKUP(B9,'FTE Allotment Factor'!$B$6:$H$63,7))</f>
        <v>2033399.1398811373</v>
      </c>
      <c r="K9" s="267">
        <f>VLOOKUP(A9,'CEO Salary'!$G$7:$H$13,2)</f>
        <v>129946.26295999998</v>
      </c>
      <c r="L9" s="267">
        <f t="shared" ref="L9:L51" si="6">IF(N9&lt;&gt;0,N9*K9,K9)</f>
        <v>126156.85657886212</v>
      </c>
      <c r="N9" s="89">
        <f>VLOOKUP(B9,BLS!$B$5:$I$64,8, FALSE)</f>
        <v>0.97083866596221924</v>
      </c>
      <c r="O9" s="94">
        <f t="shared" si="2"/>
        <v>2159555.9964599996</v>
      </c>
      <c r="Q9" s="91">
        <f>VLOOKUP(B9,'Program 10'!$A$7:$G$64,6)</f>
        <v>1.6574793219129018E-2</v>
      </c>
      <c r="R9" s="9">
        <f>VLOOKUP(B9,'Program 10'!$A$7:$G$64,7)</f>
        <v>33768.311003636365</v>
      </c>
      <c r="S9" s="91">
        <f>VLOOKUP(B9,'Program 90'!$A$7:$G$64,6)</f>
        <v>1.5569838750249376E-2</v>
      </c>
      <c r="T9" s="9">
        <f>VLOOKUP(B9,'Program 90'!$A$7:$G$64,7)</f>
        <v>36418.994399999996</v>
      </c>
      <c r="U9" s="76">
        <f>(D9*VLOOKUP(B9,'FTE Allotment Factor'!$B$7:$H$64,7,FALSE)*Q9)+(D9*R9)</f>
        <v>802510.25029484136</v>
      </c>
      <c r="V9" s="76">
        <f>((((E9-1)*VLOOKUP(B9,'FTE Allotment Factor'!$B$7:$H$64,7,FALSE))+(K9*N9))*S9)+(T9*E9)</f>
        <v>300703.45968283503</v>
      </c>
      <c r="W9" s="94">
        <f t="shared" si="3"/>
        <v>1103213.7099776764</v>
      </c>
      <c r="Y9" s="94">
        <f>F9*(VLOOKUP(A9, 'OE&amp;E by Cluster'!$B$6:$C$9,2,FALSE))</f>
        <v>872139.02669533144</v>
      </c>
      <c r="AA9" s="267">
        <f>'AB1058'!E7</f>
        <v>157452.65999999997</v>
      </c>
      <c r="AB9" s="94">
        <f t="shared" si="4"/>
        <v>3977456.0731330076</v>
      </c>
      <c r="AC9" s="95">
        <f t="shared" si="0"/>
        <v>1.4845097278601092E-3</v>
      </c>
      <c r="AD9" s="57">
        <f t="shared" si="5"/>
        <v>128305.0346171938</v>
      </c>
    </row>
    <row r="10" spans="1:30" s="55" customFormat="1" ht="20.100000000000001" customHeight="1" x14ac:dyDescent="0.25">
      <c r="A10" s="68">
        <v>2</v>
      </c>
      <c r="B10" s="69" t="s">
        <v>19</v>
      </c>
      <c r="D10" s="70">
        <f>RAS!M10</f>
        <v>109</v>
      </c>
      <c r="E10" s="70">
        <f>RAS!Q10</f>
        <v>23</v>
      </c>
      <c r="F10" s="71">
        <f t="shared" si="1"/>
        <v>132</v>
      </c>
      <c r="H10" s="75">
        <f>(F10-1)*'AVG RAS salary'!$F$66</f>
        <v>9145882.375159923</v>
      </c>
      <c r="I10" s="75">
        <f>(F10-1)*(VLOOKUP(B10,'FTE Allotment Factor'!$B$6:$D$63,3))</f>
        <v>8307221.1558537278</v>
      </c>
      <c r="J10" s="75">
        <f>(F10-1)*(VLOOKUP(B10,'FTE Allotment Factor'!$B$6:$H$63,7))</f>
        <v>8307221.1558537278</v>
      </c>
      <c r="K10" s="267">
        <f>VLOOKUP(A10,'CEO Salary'!$G$7:$H$13,2)</f>
        <v>196515.16763636365</v>
      </c>
      <c r="L10" s="267">
        <f t="shared" si="6"/>
        <v>178495.07473098204</v>
      </c>
      <c r="N10" s="89">
        <f>VLOOKUP(B10,BLS!$B$5:$I$64,8, FALSE)</f>
        <v>0.90830177068710327</v>
      </c>
      <c r="O10" s="94">
        <f>J10+L10</f>
        <v>8485716.230584709</v>
      </c>
      <c r="Q10" s="91">
        <f>VLOOKUP(B10,'Program 10'!$A$7:$G$64,6)</f>
        <v>2.3058704605343944E-2</v>
      </c>
      <c r="R10" s="9">
        <f>VLOOKUP(B10,'Program 10'!$A$7:$G$64,7)</f>
        <v>29731.175441266409</v>
      </c>
      <c r="S10" s="91">
        <f>VLOOKUP(B10,'Program 90'!$A$7:$G$64,6)</f>
        <v>1.3346627387978581E-2</v>
      </c>
      <c r="T10" s="9">
        <f>VLOOKUP(B10,'Program 90'!$A$7:$G$64,7)</f>
        <v>36406.136326808824</v>
      </c>
      <c r="U10" s="76">
        <f>(D10*VLOOKUP(B10,'FTE Allotment Factor'!$B$7:$H$64,7,FALSE)*Q10)+(D10*R10)</f>
        <v>3400082.5482959496</v>
      </c>
      <c r="V10" s="76">
        <f>((((E10-1)*VLOOKUP(B10,'FTE Allotment Factor'!$B$7:$H$64,7,FALSE))+(K10*N10))*S10)+(T10*E10)</f>
        <v>858343.40062250989</v>
      </c>
      <c r="W10" s="94">
        <f t="shared" si="3"/>
        <v>4258425.9489184599</v>
      </c>
      <c r="Y10" s="94">
        <f>F10*(VLOOKUP(A10, 'OE&amp;E by Cluster'!$B$6:$C$9,2,FALSE))</f>
        <v>2303723.2939899666</v>
      </c>
      <c r="AA10" s="267">
        <f>'AB1058'!E8</f>
        <v>256388.81</v>
      </c>
      <c r="AB10" s="94">
        <f t="shared" si="4"/>
        <v>14791476.663493136</v>
      </c>
      <c r="AC10" s="95">
        <f t="shared" si="0"/>
        <v>5.5206369580532294E-3</v>
      </c>
      <c r="AD10" s="57">
        <f t="shared" si="5"/>
        <v>112056.64139009951</v>
      </c>
    </row>
    <row r="11" spans="1:30" s="55" customFormat="1" ht="20.100000000000001" customHeight="1" x14ac:dyDescent="0.25">
      <c r="A11" s="68">
        <v>1</v>
      </c>
      <c r="B11" s="69" t="s">
        <v>6</v>
      </c>
      <c r="C11" s="87"/>
      <c r="D11" s="70">
        <f>RAS!M11</f>
        <v>21</v>
      </c>
      <c r="E11" s="70">
        <f>RAS!Q11</f>
        <v>7</v>
      </c>
      <c r="F11" s="71">
        <f t="shared" si="1"/>
        <v>28</v>
      </c>
      <c r="G11" s="87"/>
      <c r="H11" s="75">
        <f>(F11-1)*'AVG RAS salary'!$F$66</f>
        <v>1885029.1918268544</v>
      </c>
      <c r="I11" s="75">
        <f>(F11-1)*(VLOOKUP(B11,'FTE Allotment Factor'!$B$6:$D$63,3))</f>
        <v>1564316.4519560914</v>
      </c>
      <c r="J11" s="75">
        <f>(F11-1)*(VLOOKUP(B11,'FTE Allotment Factor'!$B$6:$H$63,7))</f>
        <v>1564316.4519560914</v>
      </c>
      <c r="K11" s="267">
        <f>VLOOKUP(A11,'CEO Salary'!$G$7:$H$13,2)</f>
        <v>129946.26295999998</v>
      </c>
      <c r="L11" s="267">
        <f t="shared" si="6"/>
        <v>107837.62813855248</v>
      </c>
      <c r="M11" s="87"/>
      <c r="N11" s="89">
        <f>VLOOKUP(B11,BLS!$B$5:$I$64,8, FALSE)</f>
        <v>0.82986325025558472</v>
      </c>
      <c r="O11" s="94">
        <f>J11+L11</f>
        <v>1672154.0800946439</v>
      </c>
      <c r="P11" s="87"/>
      <c r="Q11" s="91">
        <f>VLOOKUP(B11,'Program 10'!$A$7:$G$64,6)</f>
        <v>2.2616098252425425E-2</v>
      </c>
      <c r="R11" s="9">
        <f>VLOOKUP(B11,'Program 10'!$A$7:$G$64,7)</f>
        <v>32312.533755510714</v>
      </c>
      <c r="S11" s="91">
        <f>VLOOKUP(B11,'Program 90'!$A$7:$G$64,6)</f>
        <v>1.8129463784693951E-2</v>
      </c>
      <c r="T11" s="9">
        <f>VLOOKUP(B11,'Program 90'!$A$7:$G$64,7)</f>
        <v>36538.98965625</v>
      </c>
      <c r="U11" s="76">
        <f>(D11*VLOOKUP(B11,'FTE Allotment Factor'!$B$7:$H$64,7,FALSE)*Q11)+(D11*R11)</f>
        <v>706080.00242431066</v>
      </c>
      <c r="V11" s="76">
        <f>((((E11-1)*VLOOKUP(B11,'FTE Allotment Factor'!$B$7:$H$64,7,FALSE))+(K11*N11))*S11)+(T11*E11)</f>
        <v>264030.23673739051</v>
      </c>
      <c r="W11" s="94">
        <f t="shared" si="3"/>
        <v>970110.23916170117</v>
      </c>
      <c r="X11" s="87"/>
      <c r="Y11" s="94">
        <f>F11*(VLOOKUP(A11, 'OE&amp;E by Cluster'!$B$6:$C$9,2,FALSE))</f>
        <v>787738.47572481551</v>
      </c>
      <c r="Z11" s="87"/>
      <c r="AA11" s="267">
        <f>'AB1058'!E9</f>
        <v>142157.99</v>
      </c>
      <c r="AB11" s="94">
        <f t="shared" si="4"/>
        <v>3287844.80498116</v>
      </c>
      <c r="AC11" s="95">
        <f t="shared" si="0"/>
        <v>1.2271254558052886E-3</v>
      </c>
      <c r="AD11" s="57">
        <f t="shared" si="5"/>
        <v>117423.02874932715</v>
      </c>
    </row>
    <row r="12" spans="1:30" s="55" customFormat="1" ht="20.100000000000001" customHeight="1" x14ac:dyDescent="0.25">
      <c r="A12" s="68">
        <v>1</v>
      </c>
      <c r="B12" s="69" t="s">
        <v>7</v>
      </c>
      <c r="D12" s="70">
        <f>RAS!M12</f>
        <v>14</v>
      </c>
      <c r="E12" s="70">
        <f>RAS!Q12</f>
        <v>4</v>
      </c>
      <c r="F12" s="71">
        <f t="shared" si="1"/>
        <v>18</v>
      </c>
      <c r="H12" s="75">
        <f>(F12-1)*'AVG RAS salary'!$F$66</f>
        <v>1186870.2318909822</v>
      </c>
      <c r="I12" s="75">
        <f>(F12-1)*(VLOOKUP(B12,'FTE Allotment Factor'!$B$6:$D$63,3))</f>
        <v>864736.98549466231</v>
      </c>
      <c r="J12" s="75">
        <f>(F12-1)*(VLOOKUP(B12,'FTE Allotment Factor'!$B$6:$H$63,7))</f>
        <v>900030.8697303487</v>
      </c>
      <c r="K12" s="267">
        <f>VLOOKUP(A12,'CEO Salary'!$G$7:$H$13,2)</f>
        <v>129946.26295999998</v>
      </c>
      <c r="L12" s="267">
        <f t="shared" si="6"/>
        <v>94677.022549714209</v>
      </c>
      <c r="N12" s="89">
        <f>VLOOKUP(B12,BLS!$B$5:$I$64,8, FALSE)</f>
        <v>0.72858595848083496</v>
      </c>
      <c r="O12" s="94">
        <f t="shared" ref="O12:O63" si="7">J12+L12</f>
        <v>994707.89228006289</v>
      </c>
      <c r="Q12" s="91">
        <f>VLOOKUP(B12,'Program 10'!$A$7:$G$64,6)</f>
        <v>5.6865501826624955E-2</v>
      </c>
      <c r="R12" s="9">
        <f>VLOOKUP(B12,'Program 10'!$A$7:$G$64,7)</f>
        <v>39671.817405504611</v>
      </c>
      <c r="S12" s="91">
        <f>VLOOKUP(B12,'Program 90'!$A$7:$G$64,6)</f>
        <v>4.0548849656934546E-2</v>
      </c>
      <c r="T12" s="9">
        <f>VLOOKUP(B12,'Program 90'!$A$7:$G$64,7)</f>
        <v>49374.077601851852</v>
      </c>
      <c r="U12" s="76">
        <f>(D12*VLOOKUP(B12,'FTE Allotment Factor'!$B$7:$H$64,7,FALSE)*Q12)+(D12*R12)</f>
        <v>597554.26126138098</v>
      </c>
      <c r="V12" s="76">
        <f>((((E12-1)*VLOOKUP(B12,'FTE Allotment Factor'!$B$7:$H$64,7,FALSE))+(K12*N12))*S12)+(T12*E12)</f>
        <v>207775.68707073538</v>
      </c>
      <c r="W12" s="94">
        <f t="shared" si="3"/>
        <v>805329.94833211636</v>
      </c>
      <c r="Y12" s="94">
        <f>F12*(VLOOKUP(A12, 'OE&amp;E by Cluster'!$B$6:$C$9,2,FALSE))</f>
        <v>506403.30582309567</v>
      </c>
      <c r="AA12" s="267">
        <f>'AB1058'!E10</f>
        <v>65156.58</v>
      </c>
      <c r="AB12" s="94">
        <f t="shared" si="4"/>
        <v>2241284.5664352747</v>
      </c>
      <c r="AC12" s="95">
        <f t="shared" si="0"/>
        <v>8.365167787145613E-4</v>
      </c>
      <c r="AD12" s="57">
        <f t="shared" si="5"/>
        <v>124515.80924640415</v>
      </c>
    </row>
    <row r="13" spans="1:30" s="55" customFormat="1" ht="20.100000000000001" customHeight="1" x14ac:dyDescent="0.25">
      <c r="A13" s="68">
        <v>3</v>
      </c>
      <c r="B13" s="69" t="s">
        <v>41</v>
      </c>
      <c r="D13" s="70">
        <f>RAS!M13</f>
        <v>313</v>
      </c>
      <c r="E13" s="70">
        <f>RAS!Q13</f>
        <v>47</v>
      </c>
      <c r="F13" s="71">
        <f t="shared" si="1"/>
        <v>360</v>
      </c>
      <c r="H13" s="75">
        <f>(F13-1)*'AVG RAS salary'!$F$66</f>
        <v>25063906.661697805</v>
      </c>
      <c r="I13" s="75">
        <f>(F13-1)*(VLOOKUP(B13,'FTE Allotment Factor'!$B$6:$D$63,3))</f>
        <v>33180919.460764654</v>
      </c>
      <c r="J13" s="75">
        <f>(F13-1)*(VLOOKUP(B13,'FTE Allotment Factor'!$B$6:$H$63,7))</f>
        <v>33180919.460764654</v>
      </c>
      <c r="K13" s="267">
        <f>VLOOKUP(A13,'CEO Salary'!$G$7:$H$13,2)</f>
        <v>215703.69717692307</v>
      </c>
      <c r="L13" s="267">
        <f t="shared" si="6"/>
        <v>285559.91290672269</v>
      </c>
      <c r="N13" s="89">
        <f>VLOOKUP(B13,BLS!$B$5:$I$64,8, FALSE)</f>
        <v>1.3238526582717896</v>
      </c>
      <c r="O13" s="94">
        <f t="shared" si="7"/>
        <v>33466479.373671375</v>
      </c>
      <c r="Q13" s="91">
        <f>VLOOKUP(B13,'Program 10'!$A$7:$G$64,6)</f>
        <v>4.568507791533119E-2</v>
      </c>
      <c r="R13" s="9">
        <f>VLOOKUP(B13,'Program 10'!$A$7:$G$64,7)</f>
        <v>45872.106232997277</v>
      </c>
      <c r="S13" s="91">
        <f>VLOOKUP(B13,'Program 90'!$A$7:$G$64,6)</f>
        <v>4.8482262848935864E-2</v>
      </c>
      <c r="T13" s="9">
        <f>VLOOKUP(B13,'Program 90'!$A$7:$G$64,7)</f>
        <v>52573.571099397159</v>
      </c>
      <c r="U13" s="76">
        <f>(D13*VLOOKUP(B13,'FTE Allotment Factor'!$B$7:$H$64,7,FALSE)*Q13)+(D13*R13)</f>
        <v>15679607.732380752</v>
      </c>
      <c r="V13" s="76">
        <f>((((E13-1)*VLOOKUP(B13,'FTE Allotment Factor'!$B$7:$H$64,7,FALSE))+(K13*N13))*S13)+(T13*E13)</f>
        <v>2690929.3369070021</v>
      </c>
      <c r="W13" s="94">
        <f t="shared" si="3"/>
        <v>18370537.069287755</v>
      </c>
      <c r="Y13" s="94">
        <f>F13*(VLOOKUP(A13, 'OE&amp;E by Cluster'!$B$6:$C$9,2,FALSE))</f>
        <v>6282881.7108817268</v>
      </c>
      <c r="AA13" s="267">
        <f>'AB1058'!E11</f>
        <v>1062835.9900000002</v>
      </c>
      <c r="AB13" s="94">
        <f t="shared" si="4"/>
        <v>57057062.163840853</v>
      </c>
      <c r="AC13" s="95">
        <f t="shared" si="0"/>
        <v>2.1295461789631247E-2</v>
      </c>
      <c r="AD13" s="57">
        <f t="shared" si="5"/>
        <v>158491.83934400236</v>
      </c>
    </row>
    <row r="14" spans="1:30" s="55" customFormat="1" ht="20.100000000000001" customHeight="1" x14ac:dyDescent="0.25">
      <c r="A14" s="68">
        <v>1</v>
      </c>
      <c r="B14" s="69" t="s">
        <v>8</v>
      </c>
      <c r="D14" s="70">
        <f>RAS!M14</f>
        <v>22</v>
      </c>
      <c r="E14" s="70">
        <f>RAS!Q14</f>
        <v>7</v>
      </c>
      <c r="F14" s="71">
        <f t="shared" si="1"/>
        <v>29</v>
      </c>
      <c r="H14" s="75">
        <f>(F14-1)*'AVG RAS salary'!$F$66</f>
        <v>1954845.0878204415</v>
      </c>
      <c r="I14" s="75">
        <f>(F14-1)*(VLOOKUP(B14,'FTE Allotment Factor'!$B$6:$D$63,3))</f>
        <v>1482403.7854382214</v>
      </c>
      <c r="J14" s="75">
        <f>(F14-1)*(VLOOKUP(B14,'FTE Allotment Factor'!$B$6:$H$63,7))</f>
        <v>1482403.7854382214</v>
      </c>
      <c r="K14" s="267">
        <f>VLOOKUP(A14,'CEO Salary'!$G$7:$H$13,2)</f>
        <v>129946.26295999998</v>
      </c>
      <c r="L14" s="267">
        <f t="shared" si="6"/>
        <v>98541.226266798898</v>
      </c>
      <c r="N14" s="89">
        <f>VLOOKUP(B14,BLS!$B$5:$I$64,8, FALSE)</f>
        <v>0.75832289457321167</v>
      </c>
      <c r="O14" s="94">
        <f t="shared" si="7"/>
        <v>1580945.0117050202</v>
      </c>
      <c r="Q14" s="91">
        <f>VLOOKUP(B14,'Program 10'!$A$7:$G$64,6)</f>
        <v>1.9385646904280126E-2</v>
      </c>
      <c r="R14" s="9">
        <f>VLOOKUP(B14,'Program 10'!$A$7:$G$64,7)</f>
        <v>44417.489132711737</v>
      </c>
      <c r="S14" s="91">
        <f>VLOOKUP(B14,'Program 90'!$A$7:$G$64,6)</f>
        <v>1.0697004295112271E-2</v>
      </c>
      <c r="T14" s="9">
        <f>VLOOKUP(B14,'Program 90'!$A$7:$G$64,7)</f>
        <v>60807.907490909092</v>
      </c>
      <c r="U14" s="76">
        <f>(D14*VLOOKUP(B14,'FTE Allotment Factor'!$B$7:$H$64,7,FALSE)*Q14)+(D14*R14)</f>
        <v>999764.11234071606</v>
      </c>
      <c r="V14" s="76">
        <f>((((E14-1)*VLOOKUP(B14,'FTE Allotment Factor'!$B$7:$H$64,7,FALSE))+(K14*N14))*S14)+(T14*E14)</f>
        <v>430107.4368555402</v>
      </c>
      <c r="W14" s="94">
        <f t="shared" si="3"/>
        <v>1429871.5491962563</v>
      </c>
      <c r="Y14" s="94">
        <f>F14*(VLOOKUP(A14, 'OE&amp;E by Cluster'!$B$6:$C$9,2,FALSE))</f>
        <v>815871.99271498749</v>
      </c>
      <c r="AA14" s="267">
        <f>'AB1058'!E12</f>
        <v>104798.04999999999</v>
      </c>
      <c r="AB14" s="94">
        <f t="shared" si="4"/>
        <v>3721890.5036162646</v>
      </c>
      <c r="AC14" s="95">
        <f t="shared" si="0"/>
        <v>1.3891247463347512E-3</v>
      </c>
      <c r="AD14" s="57">
        <f t="shared" si="5"/>
        <v>128341.05184883671</v>
      </c>
    </row>
    <row r="15" spans="1:30" s="55" customFormat="1" ht="20.100000000000001" customHeight="1" x14ac:dyDescent="0.25">
      <c r="A15" s="68">
        <v>2</v>
      </c>
      <c r="B15" s="69" t="s">
        <v>20</v>
      </c>
      <c r="D15" s="70">
        <f>RAS!M15</f>
        <v>65</v>
      </c>
      <c r="E15" s="70">
        <f>RAS!Q15</f>
        <v>13</v>
      </c>
      <c r="F15" s="71">
        <f t="shared" si="1"/>
        <v>78</v>
      </c>
      <c r="H15" s="75">
        <f>(F15-1)*'AVG RAS salary'!$F$66</f>
        <v>5375823.9915062143</v>
      </c>
      <c r="I15" s="75">
        <f>(F15-1)*(VLOOKUP(B15,'FTE Allotment Factor'!$B$6:$D$63,3))</f>
        <v>5839051.4703561496</v>
      </c>
      <c r="J15" s="75">
        <f>(F15-1)*(VLOOKUP(B15,'FTE Allotment Factor'!$B$6:$H$63,7))</f>
        <v>5839051.4703561496</v>
      </c>
      <c r="K15" s="267">
        <f>VLOOKUP(A15,'CEO Salary'!$G$7:$H$13,2)</f>
        <v>196515.16763636365</v>
      </c>
      <c r="L15" s="267">
        <f t="shared" si="6"/>
        <v>213448.6137097087</v>
      </c>
      <c r="N15" s="89">
        <f>VLOOKUP(B15,BLS!$B$5:$I$64,8, FALSE)</f>
        <v>1.086168646812439</v>
      </c>
      <c r="O15" s="94">
        <f t="shared" si="7"/>
        <v>6052500.0840658583</v>
      </c>
      <c r="Q15" s="91">
        <f>VLOOKUP(B15,'Program 10'!$A$7:$G$64,6)</f>
        <v>5.9349082051509197E-3</v>
      </c>
      <c r="R15" s="9">
        <f>VLOOKUP(B15,'Program 10'!$A$7:$G$64,7)</f>
        <v>39932.355064231975</v>
      </c>
      <c r="S15" s="91">
        <f>VLOOKUP(B15,'Program 90'!$A$7:$G$64,6)</f>
        <v>6.2120716254629466E-3</v>
      </c>
      <c r="T15" s="9">
        <f>VLOOKUP(B15,'Program 90'!$A$7:$G$64,7)</f>
        <v>47690.952329281252</v>
      </c>
      <c r="U15" s="76">
        <f>(D15*VLOOKUP(B15,'FTE Allotment Factor'!$B$7:$H$64,7,FALSE)*Q15)+(D15*R15)</f>
        <v>2624856.653737565</v>
      </c>
      <c r="V15" s="76">
        <f>((((E15-1)*VLOOKUP(B15,'FTE Allotment Factor'!$B$7:$H$64,7,FALSE))+(K15*N15))*S15)+(T15*E15)</f>
        <v>626961.21201326512</v>
      </c>
      <c r="W15" s="94">
        <f t="shared" si="3"/>
        <v>3251817.8657508302</v>
      </c>
      <c r="Y15" s="94">
        <f>F15*(VLOOKUP(A15, 'OE&amp;E by Cluster'!$B$6:$C$9,2,FALSE))</f>
        <v>1361291.0373577075</v>
      </c>
      <c r="AA15" s="267">
        <f>'AB1058'!E13</f>
        <v>308637.55000000005</v>
      </c>
      <c r="AB15" s="94">
        <f t="shared" si="4"/>
        <v>10356971.437174395</v>
      </c>
      <c r="AC15" s="95">
        <f t="shared" si="0"/>
        <v>3.8655423383579719E-3</v>
      </c>
      <c r="AD15" s="57">
        <f t="shared" si="5"/>
        <v>132781.68509197942</v>
      </c>
    </row>
    <row r="16" spans="1:30" s="55" customFormat="1" ht="20.100000000000001" customHeight="1" x14ac:dyDescent="0.25">
      <c r="A16" s="68">
        <v>3</v>
      </c>
      <c r="B16" s="69" t="s">
        <v>42</v>
      </c>
      <c r="D16" s="70">
        <f>RAS!M16</f>
        <v>451</v>
      </c>
      <c r="E16" s="70">
        <f>RAS!Q16</f>
        <v>67</v>
      </c>
      <c r="F16" s="71">
        <f t="shared" si="1"/>
        <v>518</v>
      </c>
      <c r="H16" s="75">
        <f>(F16-1)*'AVG RAS salary'!$F$66</f>
        <v>36094818.228684582</v>
      </c>
      <c r="I16" s="75">
        <f>(F16-1)*(VLOOKUP(B16,'FTE Allotment Factor'!$B$6:$D$63,3))</f>
        <v>33721140.634603806</v>
      </c>
      <c r="J16" s="75">
        <f>(F16-1)*(VLOOKUP(B16,'FTE Allotment Factor'!$B$6:$H$63,7))</f>
        <v>33721140.634603806</v>
      </c>
      <c r="K16" s="267">
        <f>VLOOKUP(A16,'CEO Salary'!$G$7:$H$13,2)</f>
        <v>215703.69717692307</v>
      </c>
      <c r="L16" s="267">
        <f t="shared" si="6"/>
        <v>201518.52994030429</v>
      </c>
      <c r="N16" s="89">
        <f>VLOOKUP(B16,BLS!$B$5:$I$64,8, FALSE)</f>
        <v>0.93423771858215332</v>
      </c>
      <c r="O16" s="94">
        <f t="shared" si="7"/>
        <v>33922659.164544113</v>
      </c>
      <c r="Q16" s="91">
        <f>VLOOKUP(B16,'Program 10'!$A$7:$G$64,6)</f>
        <v>1.7448913992162429E-2</v>
      </c>
      <c r="R16" s="9">
        <f>VLOOKUP(B16,'Program 10'!$A$7:$G$64,7)</f>
        <v>55077.469435092295</v>
      </c>
      <c r="S16" s="91">
        <f>VLOOKUP(B16,'Program 90'!$A$7:$G$64,6)</f>
        <v>1.4491710058806844E-2</v>
      </c>
      <c r="T16" s="9">
        <f>VLOOKUP(B16,'Program 90'!$A$7:$G$64,7)</f>
        <v>65437.706556925979</v>
      </c>
      <c r="U16" s="76">
        <f>(D16*VLOOKUP(B16,'FTE Allotment Factor'!$B$7:$H$64,7,FALSE)*Q16)+(D16*R16)</f>
        <v>25353221.451156057</v>
      </c>
      <c r="V16" s="76">
        <f>((((E16-1)*VLOOKUP(B16,'FTE Allotment Factor'!$B$7:$H$64,7,FALSE))+(K16*N16))*S16)+(T16*E16)</f>
        <v>4449630.9843910635</v>
      </c>
      <c r="W16" s="94">
        <f t="shared" si="3"/>
        <v>29802852.435547121</v>
      </c>
      <c r="Y16" s="94">
        <f>F16*(VLOOKUP(A16, 'OE&amp;E by Cluster'!$B$6:$C$9,2,FALSE))</f>
        <v>9040368.6839909293</v>
      </c>
      <c r="AA16" s="267">
        <f>'AB1058'!E14</f>
        <v>2340100.42</v>
      </c>
      <c r="AB16" s="94">
        <f t="shared" si="4"/>
        <v>70425779.864082158</v>
      </c>
      <c r="AC16" s="95">
        <f t="shared" si="0"/>
        <v>2.6285081061376298E-2</v>
      </c>
      <c r="AD16" s="57">
        <f t="shared" si="5"/>
        <v>135957.1039847146</v>
      </c>
    </row>
    <row r="17" spans="1:30" s="55" customFormat="1" ht="20.100000000000001" customHeight="1" x14ac:dyDescent="0.25">
      <c r="A17" s="68">
        <v>1</v>
      </c>
      <c r="B17" s="69" t="s">
        <v>9</v>
      </c>
      <c r="C17" s="87"/>
      <c r="D17" s="70">
        <f>RAS!M17</f>
        <v>18</v>
      </c>
      <c r="E17" s="70">
        <f>RAS!Q17</f>
        <v>6</v>
      </c>
      <c r="F17" s="71">
        <f t="shared" si="1"/>
        <v>24</v>
      </c>
      <c r="G17" s="87"/>
      <c r="H17" s="75">
        <f>(F17-1)*'AVG RAS salary'!$F$66</f>
        <v>1605765.6078525055</v>
      </c>
      <c r="I17" s="75">
        <f>(F17-1)*(VLOOKUP(B17,'FTE Allotment Factor'!$B$6:$D$63,3))</f>
        <v>1132506.5291221135</v>
      </c>
      <c r="J17" s="75">
        <f>(F17-1)*(VLOOKUP(B17,'FTE Allotment Factor'!$B$6:$H$63,7))</f>
        <v>1217688.8237528247</v>
      </c>
      <c r="K17" s="267">
        <f>VLOOKUP(A17,'CEO Salary'!$G$7:$H$13,2)</f>
        <v>129946.26295999998</v>
      </c>
      <c r="L17" s="267">
        <f t="shared" si="6"/>
        <v>91647.865988381905</v>
      </c>
      <c r="M17" s="87"/>
      <c r="N17" s="89">
        <f>VLOOKUP(B17,BLS!$B$5:$I$64,8, FALSE)</f>
        <v>0.70527511835098267</v>
      </c>
      <c r="O17" s="94">
        <f t="shared" si="7"/>
        <v>1309336.6897412066</v>
      </c>
      <c r="P17" s="87"/>
      <c r="Q17" s="91">
        <f>VLOOKUP(B17,'Program 10'!$A$7:$G$64,6)</f>
        <v>0.24775069638848551</v>
      </c>
      <c r="R17" s="9">
        <f>VLOOKUP(B17,'Program 10'!$A$7:$G$64,7)</f>
        <v>29484.734110631984</v>
      </c>
      <c r="S17" s="91">
        <f>VLOOKUP(B17,'Program 90'!$A$7:$G$64,6)</f>
        <v>0.19644201508287801</v>
      </c>
      <c r="T17" s="9">
        <f>VLOOKUP(B17,'Program 90'!$A$7:$G$64,7)</f>
        <v>37327.133578728572</v>
      </c>
      <c r="U17" s="76">
        <f>(D17*VLOOKUP(B17,'FTE Allotment Factor'!$B$7:$H$64,7,FALSE)*Q17)+(D17*R17)</f>
        <v>766825.15195860551</v>
      </c>
      <c r="V17" s="76">
        <f>((((E17-1)*VLOOKUP(B17,'FTE Allotment Factor'!$B$7:$H$64,7,FALSE))+(K17*N17))*S17)+(T17*E17)</f>
        <v>293967.43344124092</v>
      </c>
      <c r="W17" s="94">
        <f t="shared" si="3"/>
        <v>1060792.5853998465</v>
      </c>
      <c r="X17" s="87"/>
      <c r="Y17" s="94">
        <f>F17*(VLOOKUP(A17, 'OE&amp;E by Cluster'!$B$6:$C$9,2,FALSE))</f>
        <v>675204.40776412759</v>
      </c>
      <c r="Z17" s="87"/>
      <c r="AA17" s="267">
        <f>'AB1058'!E15</f>
        <v>131995.20000000001</v>
      </c>
      <c r="AB17" s="94">
        <f t="shared" si="4"/>
        <v>2913338.4829051802</v>
      </c>
      <c r="AC17" s="95">
        <f t="shared" si="0"/>
        <v>1.0873481036373287E-3</v>
      </c>
      <c r="AD17" s="57">
        <f t="shared" si="5"/>
        <v>121389.10345438251</v>
      </c>
    </row>
    <row r="18" spans="1:30" s="55" customFormat="1" ht="20.100000000000001" customHeight="1" x14ac:dyDescent="0.25">
      <c r="A18" s="68">
        <v>2</v>
      </c>
      <c r="B18" s="69" t="s">
        <v>21</v>
      </c>
      <c r="D18" s="70">
        <f>RAS!M18</f>
        <v>75</v>
      </c>
      <c r="E18" s="70">
        <f>RAS!Q18</f>
        <v>15</v>
      </c>
      <c r="F18" s="71">
        <f t="shared" si="1"/>
        <v>90</v>
      </c>
      <c r="H18" s="75">
        <f>(F18-1)*'AVG RAS salary'!$F$66</f>
        <v>6213614.7434292603</v>
      </c>
      <c r="I18" s="75">
        <f>(F18-1)*(VLOOKUP(B18,'FTE Allotment Factor'!$B$6:$D$63,3))</f>
        <v>4543624.2277946845</v>
      </c>
      <c r="J18" s="75">
        <f>(F18-1)*(VLOOKUP(B18,'FTE Allotment Factor'!$B$6:$H$63,7))</f>
        <v>4543624.2277946845</v>
      </c>
      <c r="K18" s="267">
        <f>VLOOKUP(A18,'CEO Salary'!$G$7:$H$13,2)</f>
        <v>196515.16763636365</v>
      </c>
      <c r="L18" s="267">
        <f t="shared" si="6"/>
        <v>143699.13708376038</v>
      </c>
      <c r="N18" s="89">
        <f>VLOOKUP(B18,BLS!$B$5:$I$64,8, FALSE)</f>
        <v>0.73123687505722046</v>
      </c>
      <c r="O18" s="94">
        <f t="shared" si="7"/>
        <v>4687323.3648784449</v>
      </c>
      <c r="Q18" s="91">
        <f>VLOOKUP(B18,'Program 10'!$A$7:$G$64,6)</f>
        <v>1.7332611141155974E-2</v>
      </c>
      <c r="R18" s="9">
        <f>VLOOKUP(B18,'Program 10'!$A$7:$G$64,7)</f>
        <v>32410.38937870552</v>
      </c>
      <c r="S18" s="91">
        <f>VLOOKUP(B18,'Program 90'!$A$7:$G$64,6)</f>
        <v>1.5927745536098745E-2</v>
      </c>
      <c r="T18" s="9">
        <f>VLOOKUP(B18,'Program 90'!$A$7:$G$64,7)</f>
        <v>35049.091243590912</v>
      </c>
      <c r="U18" s="76">
        <f>(D18*VLOOKUP(B18,'FTE Allotment Factor'!$B$7:$H$64,7,FALSE)*Q18)+(D18*R18)</f>
        <v>2497143.9831039538</v>
      </c>
      <c r="V18" s="76">
        <f>((((E18-1)*VLOOKUP(B18,'FTE Allotment Factor'!$B$7:$H$64,7,FALSE))+(K18*N18))*S18)+(T18*E18)</f>
        <v>539409.16820340022</v>
      </c>
      <c r="W18" s="94">
        <f t="shared" si="3"/>
        <v>3036553.1513073537</v>
      </c>
      <c r="Y18" s="94">
        <f>F18*(VLOOKUP(A18, 'OE&amp;E by Cluster'!$B$6:$C$9,2,FALSE))</f>
        <v>1570720.4277204317</v>
      </c>
      <c r="AA18" s="267">
        <f>'AB1058'!E16</f>
        <v>202903.34000000003</v>
      </c>
      <c r="AB18" s="94">
        <f t="shared" si="4"/>
        <v>9091693.603906231</v>
      </c>
      <c r="AC18" s="95">
        <f t="shared" si="0"/>
        <v>3.3933014845569606E-3</v>
      </c>
      <c r="AD18" s="57">
        <f t="shared" si="5"/>
        <v>101018.81782118035</v>
      </c>
    </row>
    <row r="19" spans="1:30" s="55" customFormat="1" ht="20.100000000000001" customHeight="1" x14ac:dyDescent="0.25">
      <c r="A19" s="68">
        <v>2</v>
      </c>
      <c r="B19" s="69" t="s">
        <v>22</v>
      </c>
      <c r="D19" s="70">
        <f>RAS!M19</f>
        <v>86</v>
      </c>
      <c r="E19" s="70">
        <f>RAS!Q19</f>
        <v>19</v>
      </c>
      <c r="F19" s="71">
        <f t="shared" si="1"/>
        <v>105</v>
      </c>
      <c r="H19" s="75">
        <f>(F19-1)*'AVG RAS salary'!$F$66</f>
        <v>7260853.1833330682</v>
      </c>
      <c r="I19" s="75">
        <f>(F19-1)*(VLOOKUP(B19,'FTE Allotment Factor'!$B$6:$D$63,3))</f>
        <v>5102037.6451952001</v>
      </c>
      <c r="J19" s="75">
        <f>(F19-1)*(VLOOKUP(B19,'FTE Allotment Factor'!$B$6:$H$63,7))</f>
        <v>5102037.6451952001</v>
      </c>
      <c r="K19" s="267">
        <f>VLOOKUP(A19,'CEO Salary'!$G$7:$H$13,2)</f>
        <v>196515.16763636365</v>
      </c>
      <c r="L19" s="267">
        <f t="shared" si="6"/>
        <v>138086.77269966778</v>
      </c>
      <c r="N19" s="89">
        <f>VLOOKUP(B19,BLS!$B$5:$I$64,8, FALSE)</f>
        <v>0.70267742872238159</v>
      </c>
      <c r="O19" s="94">
        <f t="shared" si="7"/>
        <v>5240124.4178948682</v>
      </c>
      <c r="Q19" s="91">
        <f>VLOOKUP(B19,'Program 10'!$A$7:$G$64,6)</f>
        <v>9.2618206830152113E-4</v>
      </c>
      <c r="R19" s="9">
        <f>VLOOKUP(B19,'Program 10'!$A$7:$G$64,7)</f>
        <v>20669.493201621812</v>
      </c>
      <c r="S19" s="91">
        <f>VLOOKUP(B19,'Program 90'!$A$7:$G$64,6)</f>
        <v>4.0067631209380295E-3</v>
      </c>
      <c r="T19" s="9">
        <f>VLOOKUP(B19,'Program 90'!$A$7:$G$64,7)</f>
        <v>29154.192546286831</v>
      </c>
      <c r="U19" s="76">
        <f>(D19*VLOOKUP(B19,'FTE Allotment Factor'!$B$7:$H$64,7,FALSE)*Q19)+(D19*R19)</f>
        <v>1781483.9706950046</v>
      </c>
      <c r="V19" s="76">
        <f>((((E19-1)*VLOOKUP(B19,'FTE Allotment Factor'!$B$7:$H$64,7,FALSE))+(K19*N19))*S19)+(T19*E19)</f>
        <v>558021.09141597769</v>
      </c>
      <c r="W19" s="94">
        <f t="shared" si="3"/>
        <v>2339505.0621109824</v>
      </c>
      <c r="Y19" s="94">
        <f>F19*(VLOOKUP(A19, 'OE&amp;E by Cluster'!$B$6:$C$9,2,FALSE))</f>
        <v>1832507.1656738371</v>
      </c>
      <c r="AA19" s="267">
        <f>'AB1058'!E17</f>
        <v>231652.23</v>
      </c>
      <c r="AB19" s="94">
        <f t="shared" si="4"/>
        <v>9180484.4156796876</v>
      </c>
      <c r="AC19" s="95">
        <f t="shared" si="0"/>
        <v>3.4264409640128494E-3</v>
      </c>
      <c r="AD19" s="57">
        <f t="shared" si="5"/>
        <v>87433.184911235119</v>
      </c>
    </row>
    <row r="20" spans="1:30" s="55" customFormat="1" ht="20.100000000000001" customHeight="1" x14ac:dyDescent="0.25">
      <c r="A20" s="68">
        <v>1</v>
      </c>
      <c r="B20" s="69" t="s">
        <v>10</v>
      </c>
      <c r="D20" s="70">
        <f>RAS!M20</f>
        <v>15</v>
      </c>
      <c r="E20" s="70">
        <f>RAS!Q20</f>
        <v>6</v>
      </c>
      <c r="F20" s="71">
        <f t="shared" si="1"/>
        <v>21</v>
      </c>
      <c r="H20" s="75">
        <f>(F20-1)*'AVG RAS salary'!$F$66</f>
        <v>1396317.919871744</v>
      </c>
      <c r="I20" s="75">
        <f>(F20-1)*(VLOOKUP(B20,'FTE Allotment Factor'!$B$6:$D$63,3))</f>
        <v>1088086.1015442859</v>
      </c>
      <c r="J20" s="75">
        <f>(F20-1)*(VLOOKUP(B20,'FTE Allotment Factor'!$B$6:$H$63,7))</f>
        <v>1088086.1015442859</v>
      </c>
      <c r="K20" s="267">
        <f>VLOOKUP(A20,'CEO Salary'!$G$7:$H$13,2)</f>
        <v>129946.26295999998</v>
      </c>
      <c r="L20" s="267">
        <f t="shared" si="6"/>
        <v>101261.12446324714</v>
      </c>
      <c r="N20" s="89">
        <f>VLOOKUP(B20,BLS!$B$5:$I$64,8, FALSE)</f>
        <v>0.77925384044647217</v>
      </c>
      <c r="O20" s="94">
        <f t="shared" si="7"/>
        <v>1189347.226007533</v>
      </c>
      <c r="Q20" s="91">
        <f>VLOOKUP(B20,'Program 10'!$A$7:$G$64,6)</f>
        <v>1.3374403586652229E-2</v>
      </c>
      <c r="R20" s="9">
        <f>VLOOKUP(B20,'Program 10'!$A$7:$G$64,7)</f>
        <v>28225.226454820444</v>
      </c>
      <c r="S20" s="91">
        <f>VLOOKUP(B20,'Program 90'!$A$7:$G$64,6)</f>
        <v>1.9628871274087932E-2</v>
      </c>
      <c r="T20" s="9">
        <f>VLOOKUP(B20,'Program 90'!$A$7:$G$64,7)</f>
        <v>22448.712515347219</v>
      </c>
      <c r="U20" s="76">
        <f>(D20*VLOOKUP(B20,'FTE Allotment Factor'!$B$7:$H$64,7,FALSE)*Q20)+(D20*R20)</f>
        <v>434292.77381661691</v>
      </c>
      <c r="V20" s="76">
        <f>((((E20-1)*VLOOKUP(B20,'FTE Allotment Factor'!$B$7:$H$64,7,FALSE))+(K20*N20))*S20)+(T20*E20)</f>
        <v>142019.39217482603</v>
      </c>
      <c r="W20" s="94">
        <f t="shared" si="3"/>
        <v>576312.16599144298</v>
      </c>
      <c r="Y20" s="94">
        <f>F20*(VLOOKUP(A20, 'OE&amp;E by Cluster'!$B$6:$C$9,2,FALSE))</f>
        <v>590803.85679361166</v>
      </c>
      <c r="AA20" s="267">
        <f>'AB1058'!E18</f>
        <v>99020.560000000012</v>
      </c>
      <c r="AB20" s="94">
        <f t="shared" si="4"/>
        <v>2257442.6887925877</v>
      </c>
      <c r="AC20" s="95">
        <f t="shared" si="0"/>
        <v>8.4254749014979556E-4</v>
      </c>
      <c r="AD20" s="57">
        <f t="shared" si="5"/>
        <v>107497.27089488514</v>
      </c>
    </row>
    <row r="21" spans="1:30" s="55" customFormat="1" ht="20.100000000000001" customHeight="1" x14ac:dyDescent="0.25">
      <c r="A21" s="68">
        <v>3</v>
      </c>
      <c r="B21" s="69" t="s">
        <v>43</v>
      </c>
      <c r="D21" s="70">
        <f>RAS!M21</f>
        <v>450</v>
      </c>
      <c r="E21" s="70">
        <f>RAS!Q21</f>
        <v>70</v>
      </c>
      <c r="F21" s="71">
        <f t="shared" si="1"/>
        <v>520</v>
      </c>
      <c r="H21" s="75">
        <f>(F21-1)*'AVG RAS salary'!$F$66</f>
        <v>36234450.020671755</v>
      </c>
      <c r="I21" s="75">
        <f>(F21-1)*(VLOOKUP(B21,'FTE Allotment Factor'!$B$6:$D$63,3))</f>
        <v>33771783.152666293</v>
      </c>
      <c r="J21" s="75">
        <f>(F21-1)*(VLOOKUP(B21,'FTE Allotment Factor'!$B$6:$H$63,7))</f>
        <v>33771783.152666293</v>
      </c>
      <c r="K21" s="267">
        <f>VLOOKUP(A21,'CEO Salary'!$G$7:$H$13,2)</f>
        <v>215703.69717692307</v>
      </c>
      <c r="L21" s="267">
        <f t="shared" si="6"/>
        <v>201043.44021039427</v>
      </c>
      <c r="N21" s="89">
        <f>VLOOKUP(B21,BLS!$B$5:$I$64,8, FALSE)</f>
        <v>0.93203520774841309</v>
      </c>
      <c r="O21" s="94">
        <f t="shared" si="7"/>
        <v>33972826.592876688</v>
      </c>
      <c r="Q21" s="91">
        <f>VLOOKUP(B21,'Program 10'!$A$7:$G$64,6)</f>
        <v>1.9603535043362038E-2</v>
      </c>
      <c r="R21" s="9">
        <f>VLOOKUP(B21,'Program 10'!$A$7:$G$64,7)</f>
        <v>54908.753721246539</v>
      </c>
      <c r="S21" s="91">
        <f>VLOOKUP(B21,'Program 90'!$A$7:$G$64,6)</f>
        <v>1.8319586462492158E-2</v>
      </c>
      <c r="T21" s="9">
        <f>VLOOKUP(B21,'Program 90'!$A$7:$G$64,7)</f>
        <v>58711.464174358953</v>
      </c>
      <c r="U21" s="76">
        <f>(D21*VLOOKUP(B21,'FTE Allotment Factor'!$B$7:$H$64,7,FALSE)*Q21)+(D21*R21)</f>
        <v>25282967.788298037</v>
      </c>
      <c r="V21" s="76">
        <f>((((E21-1)*VLOOKUP(B21,'FTE Allotment Factor'!$B$7:$H$64,7,FALSE))+(K21*N21))*S21)+(T21*E21)</f>
        <v>4195738.4574545324</v>
      </c>
      <c r="W21" s="94">
        <f t="shared" si="3"/>
        <v>29478706.245752569</v>
      </c>
      <c r="Y21" s="94">
        <f>F21*(VLOOKUP(A21, 'OE&amp;E by Cluster'!$B$6:$C$9,2,FALSE))</f>
        <v>9075273.5823847167</v>
      </c>
      <c r="AA21" s="267">
        <f>'AB1058'!E19</f>
        <v>1237426.1000000001</v>
      </c>
      <c r="AB21" s="94">
        <f t="shared" si="4"/>
        <v>71289380.321013987</v>
      </c>
      <c r="AC21" s="95">
        <f t="shared" si="0"/>
        <v>2.6607403484484766E-2</v>
      </c>
      <c r="AD21" s="57">
        <f t="shared" si="5"/>
        <v>137094.96215579612</v>
      </c>
    </row>
    <row r="22" spans="1:30" s="55" customFormat="1" ht="20.100000000000001" customHeight="1" x14ac:dyDescent="0.25">
      <c r="A22" s="68">
        <v>2</v>
      </c>
      <c r="B22" s="69" t="s">
        <v>23</v>
      </c>
      <c r="D22" s="70">
        <f>RAS!M22</f>
        <v>95</v>
      </c>
      <c r="E22" s="70">
        <f>RAS!Q22</f>
        <v>19</v>
      </c>
      <c r="F22" s="71">
        <f t="shared" si="1"/>
        <v>114</v>
      </c>
      <c r="H22" s="75">
        <f>(F22-1)*'AVG RAS salary'!$F$66</f>
        <v>7889196.2472753534</v>
      </c>
      <c r="I22" s="75">
        <f>(F22-1)*(VLOOKUP(B22,'FTE Allotment Factor'!$B$6:$D$63,3))</f>
        <v>6917769.7034516456</v>
      </c>
      <c r="J22" s="75">
        <f>(F22-1)*(VLOOKUP(B22,'FTE Allotment Factor'!$B$6:$H$63,7))</f>
        <v>6917769.7034516456</v>
      </c>
      <c r="K22" s="267">
        <f>VLOOKUP(A22,'CEO Salary'!$G$7:$H$13,2)</f>
        <v>196515.16763636365</v>
      </c>
      <c r="L22" s="267">
        <f t="shared" si="6"/>
        <v>172317.51249857197</v>
      </c>
      <c r="N22" s="89">
        <f>VLOOKUP(B22,BLS!$B$5:$I$64,8, FALSE)</f>
        <v>0.87686622142791748</v>
      </c>
      <c r="O22" s="94">
        <f t="shared" si="7"/>
        <v>7090087.2159502171</v>
      </c>
      <c r="Q22" s="91">
        <f>VLOOKUP(B22,'Program 10'!$A$7:$G$64,6)</f>
        <v>2.8832032191136718E-2</v>
      </c>
      <c r="R22" s="9">
        <f>VLOOKUP(B22,'Program 10'!$A$7:$G$64,7)</f>
        <v>24605.38390955163</v>
      </c>
      <c r="S22" s="91">
        <f>VLOOKUP(B22,'Program 90'!$A$7:$G$64,6)</f>
        <v>3.4289803876772662E-2</v>
      </c>
      <c r="T22" s="9">
        <f>VLOOKUP(B22,'Program 90'!$A$7:$G$64,7)</f>
        <v>27659.279720499999</v>
      </c>
      <c r="U22" s="76">
        <f>(D22*VLOOKUP(B22,'FTE Allotment Factor'!$B$7:$H$64,7,FALSE)*Q22)+(D22*R22)</f>
        <v>2505193.498700988</v>
      </c>
      <c r="V22" s="76">
        <f>((((E22-1)*VLOOKUP(B22,'FTE Allotment Factor'!$B$7:$H$64,7,FALSE))+(K22*N22))*S22)+(T22*E22)</f>
        <v>569220.54746954446</v>
      </c>
      <c r="W22" s="94">
        <f t="shared" si="3"/>
        <v>3074414.0461705327</v>
      </c>
      <c r="Y22" s="94">
        <f>F22*(VLOOKUP(A22, 'OE&amp;E by Cluster'!$B$6:$C$9,2,FALSE))</f>
        <v>1989579.2084458801</v>
      </c>
      <c r="AA22" s="267">
        <f>'AB1058'!E20</f>
        <v>362018.04000000004</v>
      </c>
      <c r="AB22" s="94">
        <f t="shared" si="4"/>
        <v>11792062.430566631</v>
      </c>
      <c r="AC22" s="95">
        <f t="shared" si="0"/>
        <v>4.4011627200501073E-3</v>
      </c>
      <c r="AD22" s="57">
        <f t="shared" si="5"/>
        <v>103439.14412777747</v>
      </c>
    </row>
    <row r="23" spans="1:30" s="55" customFormat="1" ht="20.100000000000001" customHeight="1" x14ac:dyDescent="0.25">
      <c r="A23" s="68">
        <v>2</v>
      </c>
      <c r="B23" s="69" t="s">
        <v>24</v>
      </c>
      <c r="D23" s="70">
        <f>RAS!M23</f>
        <v>47</v>
      </c>
      <c r="E23" s="70">
        <f>RAS!Q23</f>
        <v>9</v>
      </c>
      <c r="F23" s="71">
        <f t="shared" si="1"/>
        <v>56</v>
      </c>
      <c r="H23" s="75">
        <f>(F23-1)*'AVG RAS salary'!$F$66</f>
        <v>3839874.2796472958</v>
      </c>
      <c r="I23" s="75">
        <f>(F23-1)*(VLOOKUP(B23,'FTE Allotment Factor'!$B$6:$D$63,3))</f>
        <v>2819929.8749271976</v>
      </c>
      <c r="J23" s="75">
        <f>(F23-1)*(VLOOKUP(B23,'FTE Allotment Factor'!$B$6:$H$63,7))</f>
        <v>2819929.8749271976</v>
      </c>
      <c r="K23" s="267">
        <f>VLOOKUP(A23,'CEO Salary'!$G$7:$H$13,2)</f>
        <v>196515.16763636365</v>
      </c>
      <c r="L23" s="267">
        <f t="shared" si="6"/>
        <v>144316.96241498028</v>
      </c>
      <c r="N23" s="89">
        <f>VLOOKUP(B23,BLS!$B$5:$I$64,8, FALSE)</f>
        <v>0.73438078165054321</v>
      </c>
      <c r="O23" s="94">
        <f t="shared" si="7"/>
        <v>2964246.837342178</v>
      </c>
      <c r="Q23" s="91">
        <f>VLOOKUP(B23,'Program 10'!$A$7:$G$64,6)</f>
        <v>2.1295775120034544E-2</v>
      </c>
      <c r="R23" s="9">
        <f>VLOOKUP(B23,'Program 10'!$A$7:$G$64,7)</f>
        <v>29565.174714270383</v>
      </c>
      <c r="S23" s="91">
        <f>VLOOKUP(B23,'Program 90'!$A$7:$G$64,6)</f>
        <v>1.7533980090894897E-2</v>
      </c>
      <c r="T23" s="9">
        <f>VLOOKUP(B23,'Program 90'!$A$7:$G$64,7)</f>
        <v>33772.188499999997</v>
      </c>
      <c r="U23" s="76">
        <f>(D23*VLOOKUP(B23,'FTE Allotment Factor'!$B$7:$H$64,7,FALSE)*Q23)+(D23*R23)</f>
        <v>1440880.8815002297</v>
      </c>
      <c r="V23" s="76">
        <f>((((E23-1)*VLOOKUP(B23,'FTE Allotment Factor'!$B$7:$H$64,7,FALSE))+(K23*N23))*S23)+(T23*E23)</f>
        <v>313672.08823262714</v>
      </c>
      <c r="W23" s="94">
        <f t="shared" si="3"/>
        <v>1754552.9697328568</v>
      </c>
      <c r="Y23" s="94">
        <f>F23*(VLOOKUP(A23, 'OE&amp;E by Cluster'!$B$6:$C$9,2,FALSE))</f>
        <v>977337.15502604633</v>
      </c>
      <c r="AA23" s="267">
        <f>'AB1058'!E21</f>
        <v>229817.69</v>
      </c>
      <c r="AB23" s="94">
        <f t="shared" si="4"/>
        <v>5466319.272101081</v>
      </c>
      <c r="AC23" s="95">
        <f t="shared" si="0"/>
        <v>2.0401995611811457E-3</v>
      </c>
      <c r="AD23" s="57">
        <f t="shared" si="5"/>
        <v>97612.844144662158</v>
      </c>
    </row>
    <row r="24" spans="1:30" s="55" customFormat="1" ht="20.100000000000001" customHeight="1" x14ac:dyDescent="0.25">
      <c r="A24" s="68">
        <v>1</v>
      </c>
      <c r="B24" s="69" t="s">
        <v>11</v>
      </c>
      <c r="D24" s="70">
        <f>RAS!M24</f>
        <v>17</v>
      </c>
      <c r="E24" s="70">
        <f>RAS!Q24</f>
        <v>5</v>
      </c>
      <c r="F24" s="71">
        <f t="shared" si="1"/>
        <v>22</v>
      </c>
      <c r="H24" s="75">
        <f>(F24-1)*'AVG RAS salary'!$F$66</f>
        <v>1466133.8158653311</v>
      </c>
      <c r="I24" s="75">
        <f>(F24-1)*(VLOOKUP(B24,'FTE Allotment Factor'!$B$6:$D$63,3))</f>
        <v>1155193.5318604819</v>
      </c>
      <c r="J24" s="75">
        <f>(F24-1)*(VLOOKUP(B24,'FTE Allotment Factor'!$B$6:$H$63,7))</f>
        <v>1155193.5318604819</v>
      </c>
      <c r="K24" s="267">
        <f>VLOOKUP(A24,'CEO Salary'!$G$7:$H$13,2)</f>
        <v>129946.26295999998</v>
      </c>
      <c r="L24" s="267">
        <f t="shared" si="6"/>
        <v>102387.02691147916</v>
      </c>
      <c r="N24" s="89">
        <f>VLOOKUP(B24,BLS!$B$5:$I$64,8, FALSE)</f>
        <v>0.78791821002960205</v>
      </c>
      <c r="O24" s="94">
        <f t="shared" si="7"/>
        <v>1257580.5587719611</v>
      </c>
      <c r="Q24" s="91">
        <f>VLOOKUP(B24,'Program 10'!$A$7:$G$64,6)</f>
        <v>0.111270090715237</v>
      </c>
      <c r="R24" s="9">
        <f>VLOOKUP(B24,'Program 10'!$A$7:$G$64,7)</f>
        <v>15547.15696720833</v>
      </c>
      <c r="S24" s="91">
        <f>VLOOKUP(B24,'Program 90'!$A$7:$G$64,6)</f>
        <v>0.13927250470173075</v>
      </c>
      <c r="T24" s="9">
        <f>VLOOKUP(B24,'Program 90'!$A$7:$G$64,7)</f>
        <v>19972.987170750002</v>
      </c>
      <c r="U24" s="76">
        <f>(D24*VLOOKUP(B24,'FTE Allotment Factor'!$B$7:$H$64,7,FALSE)*Q24)+(D24*R24)</f>
        <v>368356.63579607039</v>
      </c>
      <c r="V24" s="76">
        <f>((((E24-1)*VLOOKUP(B24,'FTE Allotment Factor'!$B$7:$H$64,7,FALSE))+(K24*N24))*S24)+(T24*E24)</f>
        <v>144769.71860685578</v>
      </c>
      <c r="W24" s="94">
        <f t="shared" si="3"/>
        <v>513126.35440292617</v>
      </c>
      <c r="Y24" s="94">
        <f>F24*(VLOOKUP(A24, 'OE&amp;E by Cluster'!$B$6:$C$9,2,FALSE))</f>
        <v>618937.37378378364</v>
      </c>
      <c r="AA24" s="267">
        <f>'AB1058'!E22</f>
        <v>57188.79</v>
      </c>
      <c r="AB24" s="94">
        <f t="shared" si="4"/>
        <v>2332455.4969586707</v>
      </c>
      <c r="AC24" s="95">
        <f t="shared" si="0"/>
        <v>8.7054459216403331E-4</v>
      </c>
      <c r="AD24" s="57">
        <f t="shared" si="5"/>
        <v>106020.70440721231</v>
      </c>
    </row>
    <row r="25" spans="1:30" s="55" customFormat="1" ht="20.100000000000001" customHeight="1" x14ac:dyDescent="0.25">
      <c r="A25" s="68">
        <v>4</v>
      </c>
      <c r="B25" s="69" t="s">
        <v>54</v>
      </c>
      <c r="D25" s="70">
        <f>RAS!M25</f>
        <v>4042</v>
      </c>
      <c r="E25" s="70">
        <f>RAS!Q25</f>
        <v>634</v>
      </c>
      <c r="F25" s="71">
        <f t="shared" si="1"/>
        <v>4676</v>
      </c>
      <c r="H25" s="75">
        <f>(F25-1)*'AVG RAS salary'!$F$66</f>
        <v>326389313.77002013</v>
      </c>
      <c r="I25" s="75">
        <f>(F25-1)*(VLOOKUP(B25,'FTE Allotment Factor'!$B$6:$D$63,3))</f>
        <v>457448820.543863</v>
      </c>
      <c r="J25" s="75">
        <f>(F25-1)*(VLOOKUP(B25,'FTE Allotment Factor'!$B$6:$H$63,7))</f>
        <v>457448820.543863</v>
      </c>
      <c r="K25" s="267">
        <f>VLOOKUP(A25,'CEO Salary'!$G$7:$H$13,2)</f>
        <v>276569.54367499996</v>
      </c>
      <c r="L25" s="267">
        <f t="shared" si="6"/>
        <v>387624.24569337734</v>
      </c>
      <c r="N25" s="89">
        <f>VLOOKUP(B25,BLS!$B$5:$I$64,8, FALSE)</f>
        <v>1.4015434980392456</v>
      </c>
      <c r="O25" s="94">
        <f t="shared" si="7"/>
        <v>457836444.78955638</v>
      </c>
      <c r="Q25" s="91">
        <f>VLOOKUP(B25,'Program 10'!$A$7:$G$64,6)</f>
        <v>0.12737180870311349</v>
      </c>
      <c r="R25" s="9">
        <f>VLOOKUP(B25,'Program 10'!$A$7:$G$64,7)</f>
        <v>43639.064855130877</v>
      </c>
      <c r="S25" s="91">
        <f>VLOOKUP(B25,'Program 90'!$A$7:$G$64,6)</f>
        <v>0.15311138339073649</v>
      </c>
      <c r="T25" s="9">
        <f>VLOOKUP(B25,'Program 90'!$A$7:$G$64,7)</f>
        <v>47998.435592531721</v>
      </c>
      <c r="U25" s="76">
        <f>(D25*VLOOKUP(B25,'FTE Allotment Factor'!$B$7:$H$64,7,FALSE)*Q25)+(D25*R25)</f>
        <v>226765893.7617451</v>
      </c>
      <c r="V25" s="76">
        <f>((((E25-1)*VLOOKUP(B25,'FTE Allotment Factor'!$B$7:$H$64,7,FALSE))+(K25*N25))*S25)+(T25*E25)</f>
        <v>39973932.944043234</v>
      </c>
      <c r="W25" s="94">
        <f t="shared" si="3"/>
        <v>266739826.70578831</v>
      </c>
      <c r="Y25" s="94">
        <f>F25*(VLOOKUP(A25, 'OE&amp;E by Cluster'!$B$6:$C$9,2,FALSE))</f>
        <v>81607652.444674879</v>
      </c>
      <c r="AA25" s="267">
        <f>'AB1058'!E23</f>
        <v>8545351.4700000007</v>
      </c>
      <c r="AB25" s="94">
        <f t="shared" si="4"/>
        <v>797638572.47001946</v>
      </c>
      <c r="AC25" s="95">
        <f t="shared" si="0"/>
        <v>0.29770340599022316</v>
      </c>
      <c r="AD25" s="57">
        <f t="shared" si="5"/>
        <v>170581.38846664233</v>
      </c>
    </row>
    <row r="26" spans="1:30" s="55" customFormat="1" ht="20.100000000000001" customHeight="1" x14ac:dyDescent="0.25">
      <c r="A26" s="68">
        <v>2</v>
      </c>
      <c r="B26" s="69" t="s">
        <v>25</v>
      </c>
      <c r="D26" s="70">
        <f>RAS!M26</f>
        <v>94</v>
      </c>
      <c r="E26" s="70">
        <f>RAS!Q26</f>
        <v>19</v>
      </c>
      <c r="F26" s="71">
        <f t="shared" si="1"/>
        <v>113</v>
      </c>
      <c r="H26" s="75">
        <f>(F26-1)*'AVG RAS salary'!$F$66</f>
        <v>7819380.3512817658</v>
      </c>
      <c r="I26" s="75">
        <f>(F26-1)*(VLOOKUP(B26,'FTE Allotment Factor'!$B$6:$D$63,3))</f>
        <v>7190968.8414270431</v>
      </c>
      <c r="J26" s="75">
        <f>(F26-1)*(VLOOKUP(B26,'FTE Allotment Factor'!$B$6:$H$63,7))</f>
        <v>7190968.8414270431</v>
      </c>
      <c r="K26" s="267">
        <f>VLOOKUP(A26,'CEO Salary'!$G$7:$H$13,2)</f>
        <v>196515.16763636365</v>
      </c>
      <c r="L26" s="267">
        <f t="shared" si="6"/>
        <v>180722.05006746596</v>
      </c>
      <c r="N26" s="89">
        <f>VLOOKUP(B26,BLS!$B$5:$I$64,8, FALSE)</f>
        <v>0.91963410377502441</v>
      </c>
      <c r="O26" s="94">
        <f t="shared" si="7"/>
        <v>7371690.8914945088</v>
      </c>
      <c r="Q26" s="91">
        <f>VLOOKUP(B26,'Program 10'!$A$7:$G$64,6)</f>
        <v>1.7541539094890073E-2</v>
      </c>
      <c r="R26" s="9">
        <f>VLOOKUP(B26,'Program 10'!$A$7:$G$64,7)</f>
        <v>34833.857232257469</v>
      </c>
      <c r="S26" s="91">
        <f>VLOOKUP(B26,'Program 90'!$A$7:$G$64,6)</f>
        <v>1.3975172331456441E-2</v>
      </c>
      <c r="T26" s="9">
        <f>VLOOKUP(B26,'Program 90'!$A$7:$G$64,7)</f>
        <v>41308.267699833341</v>
      </c>
      <c r="U26" s="76">
        <f>(D26*VLOOKUP(B26,'FTE Allotment Factor'!$B$7:$H$64,7,FALSE)*Q26)+(D26*R26)</f>
        <v>3380250.6346521191</v>
      </c>
      <c r="V26" s="76">
        <f>((((E26-1)*VLOOKUP(B26,'FTE Allotment Factor'!$B$7:$H$64,7,FALSE))+(K26*N26))*S26)+(T26*E26)</f>
        <v>803533.69486029341</v>
      </c>
      <c r="W26" s="94">
        <f t="shared" si="3"/>
        <v>4183784.3295124127</v>
      </c>
      <c r="Y26" s="94">
        <f>F26*(VLOOKUP(A26, 'OE&amp;E by Cluster'!$B$6:$C$9,2,FALSE))</f>
        <v>1972126.7592489864</v>
      </c>
      <c r="AA26" s="267">
        <f>'AB1058'!E24</f>
        <v>292013.96000000002</v>
      </c>
      <c r="AB26" s="94">
        <f t="shared" si="4"/>
        <v>13235588.020255908</v>
      </c>
      <c r="AC26" s="95">
        <f t="shared" si="0"/>
        <v>4.9399311541715599E-3</v>
      </c>
      <c r="AD26" s="57">
        <f t="shared" si="5"/>
        <v>117129.09752438858</v>
      </c>
    </row>
    <row r="27" spans="1:30" s="55" customFormat="1" ht="20.100000000000001" customHeight="1" x14ac:dyDescent="0.25">
      <c r="A27" s="68">
        <v>2</v>
      </c>
      <c r="B27" s="69" t="s">
        <v>26</v>
      </c>
      <c r="D27" s="70">
        <f>RAS!M27</f>
        <v>85</v>
      </c>
      <c r="E27" s="70">
        <f>RAS!Q27</f>
        <v>17</v>
      </c>
      <c r="F27" s="71">
        <f t="shared" si="1"/>
        <v>102</v>
      </c>
      <c r="H27" s="75">
        <f>(F27-1)*'AVG RAS salary'!$F$66</f>
        <v>7051405.4953523073</v>
      </c>
      <c r="I27" s="75">
        <f>(F27-1)*(VLOOKUP(B27,'FTE Allotment Factor'!$B$6:$D$63,3))</f>
        <v>9463797.4008438047</v>
      </c>
      <c r="J27" s="75">
        <f>(F27-1)*(VLOOKUP(B27,'FTE Allotment Factor'!$B$6:$H$63,7))</f>
        <v>9463797.4008438047</v>
      </c>
      <c r="K27" s="267">
        <f>VLOOKUP(A27,'CEO Salary'!$G$7:$H$13,2)</f>
        <v>196515.16763636365</v>
      </c>
      <c r="L27" s="267">
        <f>IF(N27&lt;&gt;0,N27*K27,K27)</f>
        <v>263745.96297563845</v>
      </c>
      <c r="N27" s="89">
        <f>VLOOKUP(B27,BLS!$B$5:$I$64,8, FALSE)</f>
        <v>1.342115044593811</v>
      </c>
      <c r="O27" s="94">
        <f t="shared" si="7"/>
        <v>9727543.3638194427</v>
      </c>
      <c r="Q27" s="91">
        <f>VLOOKUP(B27,'Program 10'!$A$7:$G$64,6)</f>
        <v>1.8537904768644125E-2</v>
      </c>
      <c r="R27" s="9">
        <f>VLOOKUP(B27,'Program 10'!$A$7:$G$64,7)</f>
        <v>34765.679916327128</v>
      </c>
      <c r="S27" s="91">
        <f>VLOOKUP(B27,'Program 90'!$A$7:$G$64,6)</f>
        <v>1.5498921337092731E-2</v>
      </c>
      <c r="T27" s="9">
        <f>VLOOKUP(B27,'Program 90'!$A$7:$G$64,7)</f>
        <v>39426.64849761904</v>
      </c>
      <c r="U27" s="76">
        <f>(D27*VLOOKUP(B27,'FTE Allotment Factor'!$B$7:$H$64,7,FALSE)*Q27)+(D27*R27)</f>
        <v>3102729.4549883967</v>
      </c>
      <c r="V27" s="76">
        <f>((((E27-1)*VLOOKUP(B27,'FTE Allotment Factor'!$B$7:$H$64,7,FALSE))+(K27*N27))*S27)+(T27*E27)</f>
        <v>697577.02440705267</v>
      </c>
      <c r="W27" s="94">
        <f t="shared" si="3"/>
        <v>3800306.4793954492</v>
      </c>
      <c r="Y27" s="94">
        <f>F27*(VLOOKUP(A27, 'OE&amp;E by Cluster'!$B$6:$C$9,2,FALSE))</f>
        <v>1780149.8180831559</v>
      </c>
      <c r="AA27" s="267">
        <f>'AB1058'!E25</f>
        <v>220849.44999999995</v>
      </c>
      <c r="AB27" s="94">
        <f t="shared" si="4"/>
        <v>15087150.211298048</v>
      </c>
      <c r="AC27" s="95">
        <f t="shared" si="0"/>
        <v>5.6309914786102748E-3</v>
      </c>
      <c r="AD27" s="57">
        <f t="shared" si="5"/>
        <v>147913.23736566716</v>
      </c>
    </row>
    <row r="28" spans="1:30" s="55" customFormat="1" ht="20.100000000000001" customHeight="1" x14ac:dyDescent="0.25">
      <c r="A28" s="68">
        <v>1</v>
      </c>
      <c r="B28" s="69" t="s">
        <v>12</v>
      </c>
      <c r="D28" s="70">
        <f>RAS!M28</f>
        <v>11</v>
      </c>
      <c r="E28" s="70">
        <f>RAS!Q28</f>
        <v>4</v>
      </c>
      <c r="F28" s="71">
        <f t="shared" si="1"/>
        <v>15</v>
      </c>
      <c r="H28" s="75">
        <f>(F28-1)*'AVG RAS salary'!$F$66</f>
        <v>977422.54391022073</v>
      </c>
      <c r="I28" s="75">
        <f>(F28-1)*(VLOOKUP(B28,'FTE Allotment Factor'!$B$6:$D$63,3))</f>
        <v>867935.3837507905</v>
      </c>
      <c r="J28" s="75">
        <f>(F28-1)*(VLOOKUP(B28,'FTE Allotment Factor'!$B$6:$H$63,7))</f>
        <v>867935.3837507905</v>
      </c>
      <c r="K28" s="267">
        <f>VLOOKUP(A28,'CEO Salary'!$G$7:$H$13,2)</f>
        <v>129946.26295999998</v>
      </c>
      <c r="L28" s="267">
        <f t="shared" si="6"/>
        <v>115390.17624656748</v>
      </c>
      <c r="N28" s="89">
        <f>VLOOKUP(B28,BLS!$B$5:$I$64,8, FALSE)</f>
        <v>0.88798379898071289</v>
      </c>
      <c r="O28" s="94">
        <f t="shared" si="7"/>
        <v>983325.55999735801</v>
      </c>
      <c r="Q28" s="91">
        <f>VLOOKUP(B28,'Program 10'!$A$7:$G$64,6)</f>
        <v>9.0394108199234741E-2</v>
      </c>
      <c r="R28" s="9">
        <f>VLOOKUP(B28,'Program 10'!$A$7:$G$64,7)</f>
        <v>21931.579096253965</v>
      </c>
      <c r="S28" s="91">
        <f>VLOOKUP(B28,'Program 90'!$A$7:$G$64,6)</f>
        <v>7.2802938829248487E-2</v>
      </c>
      <c r="T28" s="9">
        <f>VLOOKUP(B28,'Program 90'!$A$7:$G$64,7)</f>
        <v>28413.65611</v>
      </c>
      <c r="U28" s="76">
        <f>(D28*VLOOKUP(B28,'FTE Allotment Factor'!$B$7:$H$64,7,FALSE)*Q28)+(D28*R28)</f>
        <v>302891.56254992547</v>
      </c>
      <c r="V28" s="76">
        <f>((((E28-1)*VLOOKUP(B28,'FTE Allotment Factor'!$B$7:$H$64,7,FALSE))+(K28*N28))*S28)+(T28*E28)</f>
        <v>135595.70695083559</v>
      </c>
      <c r="W28" s="94">
        <f t="shared" si="3"/>
        <v>438487.26950076106</v>
      </c>
      <c r="Y28" s="94">
        <f>F28*(VLOOKUP(A28, 'OE&amp;E by Cluster'!$B$6:$C$9,2,FALSE))</f>
        <v>422002.75485257973</v>
      </c>
      <c r="AA28" s="267">
        <f>'AB1058'!E26</f>
        <v>33878.92</v>
      </c>
      <c r="AB28" s="94">
        <f t="shared" si="4"/>
        <v>1809936.6643506989</v>
      </c>
      <c r="AC28" s="95">
        <f t="shared" si="0"/>
        <v>6.7552438936751516E-4</v>
      </c>
      <c r="AD28" s="57">
        <f t="shared" si="5"/>
        <v>120662.44429004659</v>
      </c>
    </row>
    <row r="29" spans="1:30" s="55" customFormat="1" ht="20.100000000000001" customHeight="1" x14ac:dyDescent="0.25">
      <c r="A29" s="68">
        <v>2</v>
      </c>
      <c r="B29" s="69" t="s">
        <v>27</v>
      </c>
      <c r="D29" s="70">
        <f>RAS!M29</f>
        <v>54</v>
      </c>
      <c r="E29" s="70">
        <f>RAS!Q29</f>
        <v>11</v>
      </c>
      <c r="F29" s="71">
        <f t="shared" si="1"/>
        <v>65</v>
      </c>
      <c r="H29" s="75">
        <f>(F29-1)*'AVG RAS salary'!$F$66</f>
        <v>4468217.3435895806</v>
      </c>
      <c r="I29" s="75">
        <f>(F29-1)*(VLOOKUP(B29,'FTE Allotment Factor'!$B$6:$D$63,3))</f>
        <v>3529836.9340527575</v>
      </c>
      <c r="J29" s="75">
        <f>(F29-1)*(VLOOKUP(B29,'FTE Allotment Factor'!$B$6:$H$63,7))</f>
        <v>3529836.9340527575</v>
      </c>
      <c r="K29" s="267">
        <f>VLOOKUP(A29,'CEO Salary'!$G$7:$H$13,2)</f>
        <v>196515.16763636365</v>
      </c>
      <c r="L29" s="267">
        <f t="shared" si="6"/>
        <v>155244.57372683278</v>
      </c>
      <c r="N29" s="89">
        <f>VLOOKUP(B29,BLS!$B$5:$I$64,8, FALSE)</f>
        <v>0.78998774290084839</v>
      </c>
      <c r="O29" s="94">
        <f t="shared" si="7"/>
        <v>3685081.5077795903</v>
      </c>
      <c r="Q29" s="91">
        <f>VLOOKUP(B29,'Program 10'!$A$7:$G$64,6)</f>
        <v>6.3251254082346432E-3</v>
      </c>
      <c r="R29" s="9">
        <f>VLOOKUP(B29,'Program 10'!$A$7:$G$64,7)</f>
        <v>46055.898467153202</v>
      </c>
      <c r="S29" s="91">
        <f>VLOOKUP(B29,'Program 90'!$A$7:$G$64,6)</f>
        <v>5.1920671431470097E-3</v>
      </c>
      <c r="T29" s="9">
        <f>VLOOKUP(B29,'Program 90'!$A$7:$G$64,7)</f>
        <v>51811.485511153434</v>
      </c>
      <c r="U29" s="76">
        <f>(D29*VLOOKUP(B29,'FTE Allotment Factor'!$B$7:$H$64,7,FALSE)*Q29)+(D29*R29)</f>
        <v>2505856.637680009</v>
      </c>
      <c r="V29" s="76">
        <f>((((E29-1)*VLOOKUP(B29,'FTE Allotment Factor'!$B$7:$H$64,7,FALSE))+(K29*N29))*S29)+(T29*E29)</f>
        <v>573595.99811776832</v>
      </c>
      <c r="W29" s="94">
        <f t="shared" si="3"/>
        <v>3079452.6357977772</v>
      </c>
      <c r="Y29" s="94">
        <f>F29*(VLOOKUP(A29, 'OE&amp;E by Cluster'!$B$6:$C$9,2,FALSE))</f>
        <v>1134409.1977980896</v>
      </c>
      <c r="AA29" s="267">
        <f>'AB1058'!E27</f>
        <v>247726.36999999997</v>
      </c>
      <c r="AB29" s="94">
        <f t="shared" si="4"/>
        <v>7651216.971375457</v>
      </c>
      <c r="AC29" s="95">
        <f t="shared" si="0"/>
        <v>2.8556710156269279E-3</v>
      </c>
      <c r="AD29" s="57">
        <f t="shared" si="5"/>
        <v>117711.03032885319</v>
      </c>
    </row>
    <row r="30" spans="1:30" s="55" customFormat="1" ht="20.100000000000001" customHeight="1" x14ac:dyDescent="0.25">
      <c r="A30" s="68">
        <v>2</v>
      </c>
      <c r="B30" s="69" t="s">
        <v>28</v>
      </c>
      <c r="D30" s="70">
        <f>RAS!M30</f>
        <v>131</v>
      </c>
      <c r="E30" s="70">
        <f>RAS!Q30</f>
        <v>26</v>
      </c>
      <c r="F30" s="71">
        <f t="shared" si="1"/>
        <v>157</v>
      </c>
      <c r="H30" s="75">
        <f>(F30-1)*'AVG RAS salary'!$F$66</f>
        <v>10891279.774999604</v>
      </c>
      <c r="I30" s="75">
        <f>(F30-1)*(VLOOKUP(B30,'FTE Allotment Factor'!$B$6:$D$63,3))</f>
        <v>8878367.1192496046</v>
      </c>
      <c r="J30" s="75">
        <f>(F30-1)*(VLOOKUP(B30,'FTE Allotment Factor'!$B$6:$H$63,7))</f>
        <v>8878367.1192496046</v>
      </c>
      <c r="K30" s="267">
        <f>VLOOKUP(A30,'CEO Salary'!$G$7:$H$13,2)</f>
        <v>196515.16763636365</v>
      </c>
      <c r="L30" s="267">
        <f t="shared" si="6"/>
        <v>160195.48104727469</v>
      </c>
      <c r="N30" s="89">
        <f>VLOOKUP(B30,BLS!$B$5:$I$64,8, FALSE)</f>
        <v>0.81518125534057617</v>
      </c>
      <c r="O30" s="94">
        <f t="shared" si="7"/>
        <v>9038562.6002968792</v>
      </c>
      <c r="Q30" s="91">
        <f>VLOOKUP(B30,'Program 10'!$A$7:$G$64,6)</f>
        <v>1.8761077334512061E-2</v>
      </c>
      <c r="R30" s="9">
        <f>VLOOKUP(B30,'Program 10'!$A$7:$G$64,7)</f>
        <v>43793.589904695233</v>
      </c>
      <c r="S30" s="91">
        <f>VLOOKUP(B30,'Program 90'!$A$7:$G$64,6)</f>
        <v>2.0195372782378034E-2</v>
      </c>
      <c r="T30" s="9">
        <f>VLOOKUP(B30,'Program 90'!$A$7:$G$64,7)</f>
        <v>48221.583231241377</v>
      </c>
      <c r="U30" s="76">
        <f>(D30*VLOOKUP(B30,'FTE Allotment Factor'!$B$7:$H$64,7,FALSE)*Q30)+(D30*R30)</f>
        <v>5876834.4628280522</v>
      </c>
      <c r="V30" s="76">
        <f>((((E30-1)*VLOOKUP(B30,'FTE Allotment Factor'!$B$7:$H$64,7,FALSE))+(K30*N30))*S30)+(T30*E30)</f>
        <v>1285730.6557123943</v>
      </c>
      <c r="W30" s="94">
        <f t="shared" si="3"/>
        <v>7162565.1185404463</v>
      </c>
      <c r="Y30" s="94">
        <f>F30*(VLOOKUP(A30, 'OE&amp;E by Cluster'!$B$6:$C$9,2,FALSE))</f>
        <v>2740034.5239123087</v>
      </c>
      <c r="AA30" s="267">
        <f>'AB1058'!E28</f>
        <v>688976.45000000007</v>
      </c>
      <c r="AB30" s="94">
        <f t="shared" si="4"/>
        <v>18252185.792749632</v>
      </c>
      <c r="AC30" s="95">
        <f t="shared" si="0"/>
        <v>6.8122807306590762E-3</v>
      </c>
      <c r="AD30" s="57">
        <f t="shared" si="5"/>
        <v>116255.96046337346</v>
      </c>
    </row>
    <row r="31" spans="1:30" s="55" customFormat="1" ht="20.100000000000001" customHeight="1" x14ac:dyDescent="0.25">
      <c r="A31" s="68">
        <v>1</v>
      </c>
      <c r="B31" s="69" t="s">
        <v>13</v>
      </c>
      <c r="D31" s="70">
        <f>RAS!M31</f>
        <v>8</v>
      </c>
      <c r="E31" s="70">
        <f>RAS!Q31</f>
        <v>3</v>
      </c>
      <c r="F31" s="71">
        <f t="shared" si="1"/>
        <v>11</v>
      </c>
      <c r="H31" s="75">
        <f>(F31-1)*'AVG RAS salary'!$F$66</f>
        <v>698158.959935872</v>
      </c>
      <c r="I31" s="75">
        <f>(F31-1)*(VLOOKUP(B31,'FTE Allotment Factor'!$B$6:$D$63,3))</f>
        <v>398380.55302544119</v>
      </c>
      <c r="J31" s="75">
        <f>(F31-1)*(VLOOKUP(B31,'FTE Allotment Factor'!$B$6:$H$63,7))</f>
        <v>529429.92337079335</v>
      </c>
      <c r="K31" s="267">
        <f>VLOOKUP(A31,'CEO Salary'!$G$7:$H$13,2)</f>
        <v>129946.26295999998</v>
      </c>
      <c r="L31" s="267">
        <f t="shared" si="6"/>
        <v>74149.394439268173</v>
      </c>
      <c r="N31" s="89">
        <f>VLOOKUP(B31,BLS!$B$5:$I$64,8, FALSE)</f>
        <v>0.57061582803726196</v>
      </c>
      <c r="O31" s="94">
        <f t="shared" si="7"/>
        <v>603579.3178100615</v>
      </c>
      <c r="Q31" s="91">
        <f>VLOOKUP(B31,'Program 10'!$A$7:$G$64,6)</f>
        <v>4.2233466436185751E-2</v>
      </c>
      <c r="R31" s="9">
        <f>VLOOKUP(B31,'Program 10'!$A$7:$G$64,7)</f>
        <v>37780.977368</v>
      </c>
      <c r="S31" s="91">
        <f>VLOOKUP(B31,'Program 90'!$A$7:$G$64,6)</f>
        <v>4.5154640421509677E-2</v>
      </c>
      <c r="T31" s="9">
        <f>VLOOKUP(B31,'Program 90'!$A$7:$G$64,7)</f>
        <v>36328.175675999999</v>
      </c>
      <c r="U31" s="76">
        <f>(D31*VLOOKUP(B31,'FTE Allotment Factor'!$B$7:$H$64,7,FALSE)*Q31)+(D31*R31)</f>
        <v>320135.54766319424</v>
      </c>
      <c r="V31" s="76">
        <f>((((E31-1)*VLOOKUP(B31,'FTE Allotment Factor'!$B$7:$H$64,7,FALSE))+(K31*N31))*S31)+(T31*E31)</f>
        <v>117113.95983501695</v>
      </c>
      <c r="W31" s="94">
        <f t="shared" si="3"/>
        <v>437249.50749821123</v>
      </c>
      <c r="Y31" s="94">
        <f>F31*(VLOOKUP(A31, 'OE&amp;E by Cluster'!$B$6:$C$9,2,FALSE))</f>
        <v>309468.68689189182</v>
      </c>
      <c r="AA31" s="267">
        <f>'AB1058'!E29</f>
        <v>66011</v>
      </c>
      <c r="AB31" s="94">
        <f t="shared" si="4"/>
        <v>1284286.5122001646</v>
      </c>
      <c r="AC31" s="95">
        <f t="shared" si="0"/>
        <v>4.7933548118833484E-4</v>
      </c>
      <c r="AD31" s="57">
        <f t="shared" si="5"/>
        <v>116753.31929092406</v>
      </c>
    </row>
    <row r="32" spans="1:30" s="55" customFormat="1" ht="20.100000000000001" customHeight="1" x14ac:dyDescent="0.25">
      <c r="A32" s="68">
        <v>1</v>
      </c>
      <c r="B32" s="69" t="s">
        <v>14</v>
      </c>
      <c r="D32" s="70">
        <f>RAS!M32</f>
        <v>11</v>
      </c>
      <c r="E32" s="70">
        <f>RAS!Q32</f>
        <v>4</v>
      </c>
      <c r="F32" s="71">
        <f t="shared" si="1"/>
        <v>15</v>
      </c>
      <c r="H32" s="75">
        <f>(F32-1)*'AVG RAS salary'!$F$66</f>
        <v>977422.54391022073</v>
      </c>
      <c r="I32" s="75">
        <f>(F32-1)*(VLOOKUP(B32,'FTE Allotment Factor'!$B$6:$D$63,3))</f>
        <v>882822.9273273506</v>
      </c>
      <c r="J32" s="75">
        <f>(F32-1)*(VLOOKUP(B32,'FTE Allotment Factor'!$B$6:$H$63,7))</f>
        <v>882822.9273273506</v>
      </c>
      <c r="K32" s="267">
        <f>VLOOKUP(A32,'CEO Salary'!$G$7:$H$13,2)</f>
        <v>129946.26295999998</v>
      </c>
      <c r="L32" s="267">
        <f t="shared" si="6"/>
        <v>117369.44372354705</v>
      </c>
      <c r="N32" s="89">
        <f>VLOOKUP(B32,BLS!$B$5:$I$64,8, FALSE)</f>
        <v>0.90321522951126099</v>
      </c>
      <c r="O32" s="94">
        <f t="shared" si="7"/>
        <v>1000192.3710508976</v>
      </c>
      <c r="Q32" s="91">
        <f>VLOOKUP(B32,'Program 10'!$A$7:$G$64,6)</f>
        <v>1.9828616941320792E-2</v>
      </c>
      <c r="R32" s="9">
        <f>VLOOKUP(B32,'Program 10'!$A$7:$G$64,7)</f>
        <v>41363.307166719438</v>
      </c>
      <c r="S32" s="91">
        <f>VLOOKUP(B32,'Program 90'!$A$7:$G$64,6)</f>
        <v>1.4437434397949166E-2</v>
      </c>
      <c r="T32" s="9">
        <f>VLOOKUP(B32,'Program 90'!$A$7:$G$64,7)</f>
        <v>50784.677935189866</v>
      </c>
      <c r="U32" s="76">
        <f>(D32*VLOOKUP(B32,'FTE Allotment Factor'!$B$7:$H$64,7,FALSE)*Q32)+(D32*R32)</f>
        <v>468750.43127554847</v>
      </c>
      <c r="V32" s="76">
        <f>((((E32-1)*VLOOKUP(B32,'FTE Allotment Factor'!$B$7:$H$64,7,FALSE))+(K32*N32))*S32)+(T32*E32)</f>
        <v>207564.44640590498</v>
      </c>
      <c r="W32" s="94">
        <f t="shared" si="3"/>
        <v>676314.87768145348</v>
      </c>
      <c r="Y32" s="94">
        <f>F32*(VLOOKUP(A32, 'OE&amp;E by Cluster'!$B$6:$C$9,2,FALSE))</f>
        <v>422002.75485257973</v>
      </c>
      <c r="AA32" s="267">
        <f>'AB1058'!E30</f>
        <v>61284</v>
      </c>
      <c r="AB32" s="94">
        <f t="shared" si="4"/>
        <v>2037226.0035849311</v>
      </c>
      <c r="AC32" s="95">
        <f t="shared" si="0"/>
        <v>7.6035580646631831E-4</v>
      </c>
      <c r="AD32" s="57">
        <f t="shared" si="5"/>
        <v>135815.06690566207</v>
      </c>
    </row>
    <row r="33" spans="1:30" s="55" customFormat="1" ht="20.100000000000001" customHeight="1" x14ac:dyDescent="0.25">
      <c r="A33" s="68">
        <v>3</v>
      </c>
      <c r="B33" s="69" t="s">
        <v>44</v>
      </c>
      <c r="D33" s="70">
        <f>RAS!M33</f>
        <v>179</v>
      </c>
      <c r="E33" s="70">
        <f>RAS!Q33</f>
        <v>28</v>
      </c>
      <c r="F33" s="71">
        <f t="shared" si="1"/>
        <v>207</v>
      </c>
      <c r="H33" s="75">
        <f>(F33-1)*'AVG RAS salary'!$F$66</f>
        <v>14382074.574678963</v>
      </c>
      <c r="I33" s="75">
        <f>(F33-1)*(VLOOKUP(B33,'FTE Allotment Factor'!$B$6:$D$63,3))</f>
        <v>16396710.079960855</v>
      </c>
      <c r="J33" s="75">
        <f>(F33-1)*(VLOOKUP(B33,'FTE Allotment Factor'!$B$6:$H$63,7))</f>
        <v>16396710.079960855</v>
      </c>
      <c r="K33" s="267">
        <f>VLOOKUP(A33,'CEO Salary'!$G$7:$H$13,2)</f>
        <v>215703.69717692307</v>
      </c>
      <c r="L33" s="267">
        <f t="shared" si="6"/>
        <v>245919.38857086812</v>
      </c>
      <c r="N33" s="89">
        <f>VLOOKUP(B33,BLS!$B$5:$I$64,8, FALSE)</f>
        <v>1.1400796175003052</v>
      </c>
      <c r="O33" s="94">
        <f t="shared" si="7"/>
        <v>16642629.468531722</v>
      </c>
      <c r="Q33" s="91">
        <f>VLOOKUP(B33,'Program 10'!$A$7:$G$64,6)</f>
        <v>0.1320065027648262</v>
      </c>
      <c r="R33" s="9">
        <f>VLOOKUP(B33,'Program 10'!$A$7:$G$64,7)</f>
        <v>28212.091959520669</v>
      </c>
      <c r="S33" s="91">
        <f>VLOOKUP(B33,'Program 90'!$A$7:$G$64,6)</f>
        <v>9.4734623666001092E-2</v>
      </c>
      <c r="T33" s="9">
        <f>VLOOKUP(B33,'Program 90'!$A$7:$G$64,7)</f>
        <v>34145.713039459471</v>
      </c>
      <c r="U33" s="76">
        <f>(D33*VLOOKUP(B33,'FTE Allotment Factor'!$B$7:$H$64,7,FALSE)*Q33)+(D33*R33)</f>
        <v>6930743.8367556017</v>
      </c>
      <c r="V33" s="76">
        <f>((((E33-1)*VLOOKUP(B33,'FTE Allotment Factor'!$B$7:$H$64,7,FALSE))+(K33*N33))*S33)+(T33*E33)</f>
        <v>1182969.6491692786</v>
      </c>
      <c r="W33" s="94">
        <f t="shared" si="3"/>
        <v>8113713.48592488</v>
      </c>
      <c r="Y33" s="94">
        <f>F33*(VLOOKUP(A33, 'OE&amp;E by Cluster'!$B$6:$C$9,2,FALSE))</f>
        <v>3612656.983756993</v>
      </c>
      <c r="AA33" s="267">
        <f>'AB1058'!E31</f>
        <v>525098.55000000005</v>
      </c>
      <c r="AB33" s="94">
        <f t="shared" si="4"/>
        <v>27843901.388213594</v>
      </c>
      <c r="AC33" s="95">
        <f t="shared" si="0"/>
        <v>1.0392205900547334E-2</v>
      </c>
      <c r="AD33" s="57">
        <f t="shared" si="5"/>
        <v>134511.60090924441</v>
      </c>
    </row>
    <row r="34" spans="1:30" s="55" customFormat="1" ht="20.100000000000001" customHeight="1" x14ac:dyDescent="0.25">
      <c r="A34" s="68">
        <v>2</v>
      </c>
      <c r="B34" s="69" t="s">
        <v>29</v>
      </c>
      <c r="D34" s="70">
        <f>RAS!M34</f>
        <v>57</v>
      </c>
      <c r="E34" s="70">
        <f>RAS!Q34</f>
        <v>11</v>
      </c>
      <c r="F34" s="71">
        <f t="shared" si="1"/>
        <v>68</v>
      </c>
      <c r="H34" s="75">
        <f>(F34-1)*'AVG RAS salary'!$F$66</f>
        <v>4677665.0315703424</v>
      </c>
      <c r="I34" s="75">
        <f>(F34-1)*(VLOOKUP(B34,'FTE Allotment Factor'!$B$6:$D$63,3))</f>
        <v>5909638.0153901279</v>
      </c>
      <c r="J34" s="75">
        <f>(F34-1)*(VLOOKUP(B34,'FTE Allotment Factor'!$B$6:$H$63,7))</f>
        <v>5909638.0153901279</v>
      </c>
      <c r="K34" s="267">
        <f>VLOOKUP(A34,'CEO Salary'!$G$7:$H$13,2)</f>
        <v>196515.16763636365</v>
      </c>
      <c r="L34" s="267">
        <f t="shared" si="6"/>
        <v>248272.0539898827</v>
      </c>
      <c r="N34" s="89">
        <f>VLOOKUP(B34,BLS!$B$5:$I$64,8, FALSE)</f>
        <v>1.2633734941482544</v>
      </c>
      <c r="O34" s="94">
        <f t="shared" si="7"/>
        <v>6157910.0693800105</v>
      </c>
      <c r="Q34" s="91">
        <f>VLOOKUP(B34,'Program 10'!$A$7:$G$64,6)</f>
        <v>2.0780395556155986E-2</v>
      </c>
      <c r="R34" s="9">
        <f>VLOOKUP(B34,'Program 10'!$A$7:$G$64,7)</f>
        <v>38732.208537327584</v>
      </c>
      <c r="S34" s="91">
        <f>VLOOKUP(B34,'Program 90'!$A$7:$G$64,6)</f>
        <v>1.8517050128538843E-2</v>
      </c>
      <c r="T34" s="9">
        <f>VLOOKUP(B34,'Program 90'!$A$7:$G$64,7)</f>
        <v>40447.292021052635</v>
      </c>
      <c r="U34" s="76">
        <f>(D34*VLOOKUP(B34,'FTE Allotment Factor'!$B$7:$H$64,7,FALSE)*Q34)+(D34*R34)</f>
        <v>2312211.455083638</v>
      </c>
      <c r="V34" s="76">
        <f>((((E34-1)*VLOOKUP(B34,'FTE Allotment Factor'!$B$7:$H$64,7,FALSE))+(K34*N34))*S34)+(T34*E34)</f>
        <v>465850.17432657088</v>
      </c>
      <c r="W34" s="94">
        <f t="shared" si="3"/>
        <v>2778061.6294102087</v>
      </c>
      <c r="Y34" s="94">
        <f>F34*(VLOOKUP(A34, 'OE&amp;E by Cluster'!$B$6:$C$9,2,FALSE))</f>
        <v>1186766.5453887705</v>
      </c>
      <c r="AA34" s="267">
        <f>'AB1058'!E32</f>
        <v>142788.73000000001</v>
      </c>
      <c r="AB34" s="94">
        <f t="shared" si="4"/>
        <v>9979949.5141789895</v>
      </c>
      <c r="AC34" s="95">
        <f t="shared" si="0"/>
        <v>3.7248260860569533E-3</v>
      </c>
      <c r="AD34" s="57">
        <f t="shared" si="5"/>
        <v>146763.96344380867</v>
      </c>
    </row>
    <row r="35" spans="1:30" s="55" customFormat="1" ht="20.100000000000001" customHeight="1" x14ac:dyDescent="0.25">
      <c r="A35" s="68">
        <v>2</v>
      </c>
      <c r="B35" s="69" t="s">
        <v>30</v>
      </c>
      <c r="D35" s="70">
        <f>RAS!M35</f>
        <v>43</v>
      </c>
      <c r="E35" s="70">
        <f>RAS!Q35</f>
        <v>10</v>
      </c>
      <c r="F35" s="71">
        <f t="shared" si="1"/>
        <v>53</v>
      </c>
      <c r="H35" s="75">
        <f>(F35-1)*'AVG RAS salary'!$F$66</f>
        <v>3630426.5916665341</v>
      </c>
      <c r="I35" s="75">
        <f>(F35-1)*(VLOOKUP(B35,'FTE Allotment Factor'!$B$6:$D$63,3))</f>
        <v>3893961.8309573033</v>
      </c>
      <c r="J35" s="75">
        <f>(F35-1)*(VLOOKUP(B35,'FTE Allotment Factor'!$B$6:$H$63,7))</f>
        <v>3893961.8309573033</v>
      </c>
      <c r="K35" s="267">
        <f>VLOOKUP(A35,'CEO Salary'!$G$7:$H$13,2)</f>
        <v>196515.16763636365</v>
      </c>
      <c r="L35" s="267">
        <f t="shared" si="6"/>
        <v>210780.34293179397</v>
      </c>
      <c r="N35" s="89">
        <f>VLOOKUP(B35,BLS!$B$5:$I$64,8, FALSE)</f>
        <v>1.072590708732605</v>
      </c>
      <c r="O35" s="94">
        <f t="shared" si="7"/>
        <v>4104742.1738890973</v>
      </c>
      <c r="Q35" s="91">
        <f>VLOOKUP(B35,'Program 10'!$A$7:$G$64,6)</f>
        <v>4.0157678731965275E-2</v>
      </c>
      <c r="R35" s="9">
        <f>VLOOKUP(B35,'Program 10'!$A$7:$G$64,7)</f>
        <v>40379.017928775924</v>
      </c>
      <c r="S35" s="91">
        <f>VLOOKUP(B35,'Program 90'!$A$7:$G$64,6)</f>
        <v>4.2257948914983808E-2</v>
      </c>
      <c r="T35" s="9">
        <f>VLOOKUP(B35,'Program 90'!$A$7:$G$64,7)</f>
        <v>52692.457825107093</v>
      </c>
      <c r="U35" s="76">
        <f>(D35*VLOOKUP(B35,'FTE Allotment Factor'!$B$7:$H$64,7,FALSE)*Q35)+(D35*R35)</f>
        <v>1865605.7734891167</v>
      </c>
      <c r="V35" s="76">
        <f>((((E35-1)*VLOOKUP(B35,'FTE Allotment Factor'!$B$7:$H$64,7,FALSE))+(K35*N35))*S35)+(T35*E35)</f>
        <v>564311.67631430039</v>
      </c>
      <c r="W35" s="94">
        <f t="shared" si="3"/>
        <v>2429917.4498034171</v>
      </c>
      <c r="Y35" s="94">
        <f>F35*(VLOOKUP(A35, 'OE&amp;E by Cluster'!$B$6:$C$9,2,FALSE))</f>
        <v>924979.80743536528</v>
      </c>
      <c r="AA35" s="267">
        <f>'AB1058'!E33</f>
        <v>252984.01</v>
      </c>
      <c r="AB35" s="94">
        <f t="shared" si="4"/>
        <v>7206655.42112788</v>
      </c>
      <c r="AC35" s="95">
        <f t="shared" si="0"/>
        <v>2.6897468837595814E-3</v>
      </c>
      <c r="AD35" s="57">
        <f t="shared" si="5"/>
        <v>135974.6305873185</v>
      </c>
    </row>
    <row r="36" spans="1:30" s="55" customFormat="1" ht="20.100000000000001" customHeight="1" x14ac:dyDescent="0.25">
      <c r="A36" s="68">
        <v>4</v>
      </c>
      <c r="B36" s="69" t="s">
        <v>55</v>
      </c>
      <c r="D36" s="70">
        <f>RAS!M36</f>
        <v>1166</v>
      </c>
      <c r="E36" s="70">
        <f>RAS!Q36</f>
        <v>188</v>
      </c>
      <c r="F36" s="71">
        <f t="shared" si="1"/>
        <v>1354</v>
      </c>
      <c r="H36" s="75">
        <f>(F36-1)*'AVG RAS salary'!$F$66</f>
        <v>94460907.279323474</v>
      </c>
      <c r="I36" s="75">
        <f>(F36-1)*(VLOOKUP(B36,'FTE Allotment Factor'!$B$6:$D$63,3))</f>
        <v>118250853.84256659</v>
      </c>
      <c r="J36" s="75">
        <f>(F36-1)*(VLOOKUP(B36,'FTE Allotment Factor'!$B$6:$H$63,7))</f>
        <v>118250853.84256659</v>
      </c>
      <c r="K36" s="267">
        <f>VLOOKUP(A36,'CEO Salary'!$G$7:$H$13,2)</f>
        <v>276569.54367499996</v>
      </c>
      <c r="L36" s="267">
        <f t="shared" si="6"/>
        <v>346223.48681989062</v>
      </c>
      <c r="N36" s="89">
        <f>VLOOKUP(B36,BLS!$B$5:$I$64,8, FALSE)</f>
        <v>1.2518496513366699</v>
      </c>
      <c r="O36" s="94">
        <f t="shared" si="7"/>
        <v>118597077.32938649</v>
      </c>
      <c r="Q36" s="91">
        <f>VLOOKUP(B36,'Program 10'!$A$7:$G$64,6)</f>
        <v>2.1256622476595325E-2</v>
      </c>
      <c r="R36" s="9">
        <f>VLOOKUP(B36,'Program 10'!$A$7:$G$64,7)</f>
        <v>44211.240292338691</v>
      </c>
      <c r="S36" s="91">
        <f>VLOOKUP(B36,'Program 90'!$A$7:$G$64,6)</f>
        <v>2.7417449031218143E-2</v>
      </c>
      <c r="T36" s="9">
        <f>VLOOKUP(B36,'Program 90'!$A$7:$G$64,7)</f>
        <v>45604.786145869104</v>
      </c>
      <c r="U36" s="76">
        <f>(D36*VLOOKUP(B36,'FTE Allotment Factor'!$B$7:$H$64,7,FALSE)*Q36)+(D36*R36)</f>
        <v>53716509.906985998</v>
      </c>
      <c r="V36" s="76">
        <f>((((E36-1)*VLOOKUP(B36,'FTE Allotment Factor'!$B$7:$H$64,7,FALSE))+(K36*N36))*S36)+(T36*E36)</f>
        <v>9031292.5625693873</v>
      </c>
      <c r="W36" s="94">
        <f t="shared" si="3"/>
        <v>62747802.469555385</v>
      </c>
      <c r="Y36" s="94">
        <f>F36*(VLOOKUP(A36, 'OE&amp;E by Cluster'!$B$6:$C$9,2,FALSE))</f>
        <v>23630616.212594051</v>
      </c>
      <c r="AA36" s="267">
        <f>'AB1058'!E34</f>
        <v>2443170.4300000002</v>
      </c>
      <c r="AB36" s="94">
        <f t="shared" si="4"/>
        <v>202532325.58153594</v>
      </c>
      <c r="AC36" s="95">
        <f t="shared" si="0"/>
        <v>7.5591333255150869E-2</v>
      </c>
      <c r="AD36" s="57">
        <f t="shared" si="5"/>
        <v>149580.74267469419</v>
      </c>
    </row>
    <row r="37" spans="1:30" s="55" customFormat="1" ht="20.100000000000001" customHeight="1" x14ac:dyDescent="0.25">
      <c r="A37" s="68">
        <v>2</v>
      </c>
      <c r="B37" s="69" t="s">
        <v>31</v>
      </c>
      <c r="D37" s="70">
        <f>RAS!M37</f>
        <v>145</v>
      </c>
      <c r="E37" s="70">
        <f>RAS!Q37</f>
        <v>28</v>
      </c>
      <c r="F37" s="71">
        <f t="shared" si="1"/>
        <v>173</v>
      </c>
      <c r="H37" s="75">
        <f>(F37-1)*'AVG RAS salary'!$F$66</f>
        <v>12008334.110896997</v>
      </c>
      <c r="I37" s="75">
        <f>(F37-1)*(VLOOKUP(B37,'FTE Allotment Factor'!$B$6:$D$63,3))</f>
        <v>14408614.377354659</v>
      </c>
      <c r="J37" s="75">
        <f>(F37-1)*(VLOOKUP(B37,'FTE Allotment Factor'!$B$6:$H$63,7))</f>
        <v>14408614.377354659</v>
      </c>
      <c r="K37" s="267">
        <f>VLOOKUP(A37,'CEO Salary'!$G$7:$H$13,2)</f>
        <v>196515.16763636365</v>
      </c>
      <c r="L37" s="267">
        <f t="shared" si="6"/>
        <v>235795.51032012902</v>
      </c>
      <c r="N37" s="89">
        <f>VLOOKUP(B37,BLS!$B$5:$I$64,8, FALSE)</f>
        <v>1.1998845338821411</v>
      </c>
      <c r="O37" s="94">
        <f t="shared" si="7"/>
        <v>14644409.887674788</v>
      </c>
      <c r="Q37" s="91">
        <f>VLOOKUP(B37,'Program 10'!$A$7:$G$64,6)</f>
        <v>2.5934151579024654E-2</v>
      </c>
      <c r="R37" s="9">
        <f>VLOOKUP(B37,'Program 10'!$A$7:$G$64,7)</f>
        <v>50925.124019032497</v>
      </c>
      <c r="S37" s="91">
        <f>VLOOKUP(B37,'Program 90'!$A$7:$G$64,6)</f>
        <v>2.3539493265913397E-2</v>
      </c>
      <c r="T37" s="9">
        <f>VLOOKUP(B37,'Program 90'!$A$7:$G$64,7)</f>
        <v>53665.629091439747</v>
      </c>
      <c r="U37" s="76">
        <f>(D37*VLOOKUP(B37,'FTE Allotment Factor'!$B$7:$H$64,7,FALSE)*Q37)+(D37*R37)</f>
        <v>7699159.8574653771</v>
      </c>
      <c r="V37" s="76">
        <f>((((E37-1)*VLOOKUP(B37,'FTE Allotment Factor'!$B$7:$H$64,7,FALSE))+(K37*N37))*S37)+(T37*E37)</f>
        <v>1561430.1562125438</v>
      </c>
      <c r="W37" s="94">
        <f t="shared" si="3"/>
        <v>9260590.0136779211</v>
      </c>
      <c r="Y37" s="94">
        <f>F37*(VLOOKUP(A37, 'OE&amp;E by Cluster'!$B$6:$C$9,2,FALSE))</f>
        <v>3019273.7110626074</v>
      </c>
      <c r="AA37" s="267">
        <f>'AB1058'!E35</f>
        <v>327044.03000000003</v>
      </c>
      <c r="AB37" s="94">
        <f t="shared" si="4"/>
        <v>26597229.582415316</v>
      </c>
      <c r="AC37" s="95">
        <f t="shared" si="0"/>
        <v>9.9269093921439885E-3</v>
      </c>
      <c r="AD37" s="57">
        <f>AB37/F37</f>
        <v>153741.21145904806</v>
      </c>
    </row>
    <row r="38" spans="1:30" s="55" customFormat="1" ht="20.100000000000001" customHeight="1" x14ac:dyDescent="0.25">
      <c r="A38" s="68">
        <v>1</v>
      </c>
      <c r="B38" s="69" t="s">
        <v>15</v>
      </c>
      <c r="D38" s="70">
        <f>RAS!M38</f>
        <v>11</v>
      </c>
      <c r="E38" s="70">
        <f>RAS!Q38</f>
        <v>4</v>
      </c>
      <c r="F38" s="71">
        <f t="shared" si="1"/>
        <v>15</v>
      </c>
      <c r="H38" s="75">
        <f>(F38-1)*'AVG RAS salary'!$F$66</f>
        <v>977422.54391022073</v>
      </c>
      <c r="I38" s="75">
        <f>(F38-1)*(VLOOKUP(B38,'FTE Allotment Factor'!$B$6:$D$63,3))</f>
        <v>681999.17463277467</v>
      </c>
      <c r="J38" s="75">
        <f>(F38-1)*(VLOOKUP(B38,'FTE Allotment Factor'!$B$6:$H$63,7))</f>
        <v>741201.89271911071</v>
      </c>
      <c r="K38" s="267">
        <f>VLOOKUP(A38,'CEO Salary'!$G$7:$H$13,2)</f>
        <v>129946.26295999998</v>
      </c>
      <c r="L38" s="267">
        <f t="shared" si="6"/>
        <v>90670.349929511955</v>
      </c>
      <c r="N38" s="89">
        <f>VLOOKUP(B38,BLS!$B$5:$I$64,8, FALSE)</f>
        <v>0.69775265455245972</v>
      </c>
      <c r="O38" s="94">
        <f t="shared" si="7"/>
        <v>831872.24264862272</v>
      </c>
      <c r="Q38" s="91">
        <f>VLOOKUP(B38,'Program 10'!$A$7:$G$64,6)</f>
        <v>1.6688665772881868E-2</v>
      </c>
      <c r="R38" s="9">
        <f>VLOOKUP(B38,'Program 10'!$A$7:$G$64,7)</f>
        <v>33636.113999855545</v>
      </c>
      <c r="S38" s="91">
        <f>VLOOKUP(B38,'Program 90'!$A$7:$G$64,6)</f>
        <v>1.800629191285984E-2</v>
      </c>
      <c r="T38" s="9">
        <f>VLOOKUP(B38,'Program 90'!$A$7:$G$64,7)</f>
        <v>40767.787363500007</v>
      </c>
      <c r="U38" s="76">
        <f>(D38*VLOOKUP(B38,'FTE Allotment Factor'!$B$7:$H$64,7,FALSE)*Q38)+(D38*R38)</f>
        <v>379716.28094383841</v>
      </c>
      <c r="V38" s="76">
        <f>((((E38-1)*VLOOKUP(B38,'FTE Allotment Factor'!$B$7:$H$64,7,FALSE))+(K38*N38))*S38)+(T38*E38)</f>
        <v>167563.70716695723</v>
      </c>
      <c r="W38" s="94">
        <f t="shared" si="3"/>
        <v>547279.98811079562</v>
      </c>
      <c r="Y38" s="94">
        <f>F38*(VLOOKUP(A38, 'OE&amp;E by Cluster'!$B$6:$C$9,2,FALSE))</f>
        <v>422002.75485257973</v>
      </c>
      <c r="AA38" s="267">
        <f>'AB1058'!E36</f>
        <v>137427.55000000002</v>
      </c>
      <c r="AB38" s="94">
        <f t="shared" si="4"/>
        <v>1663727.435611998</v>
      </c>
      <c r="AC38" s="95">
        <f t="shared" si="0"/>
        <v>6.2095457932444459E-4</v>
      </c>
      <c r="AD38" s="57">
        <f t="shared" si="5"/>
        <v>110915.1623741332</v>
      </c>
    </row>
    <row r="39" spans="1:30" s="55" customFormat="1" ht="20.100000000000001" customHeight="1" x14ac:dyDescent="0.25">
      <c r="A39" s="68">
        <v>4</v>
      </c>
      <c r="B39" s="69" t="s">
        <v>56</v>
      </c>
      <c r="D39" s="70">
        <f>RAS!M39</f>
        <v>894</v>
      </c>
      <c r="E39" s="70">
        <f>RAS!Q39</f>
        <v>143</v>
      </c>
      <c r="F39" s="71">
        <f t="shared" ref="F39:F64" si="8">SUM(D39:E39)</f>
        <v>1037</v>
      </c>
      <c r="H39" s="75">
        <f>(F39-1)*'AVG RAS salary'!$F$66</f>
        <v>72329268.249356329</v>
      </c>
      <c r="I39" s="75">
        <f>(F39-1)*(VLOOKUP(B39,'FTE Allotment Factor'!$B$6:$D$63,3))</f>
        <v>81235685.775232434</v>
      </c>
      <c r="J39" s="75">
        <f>(F39-1)*(VLOOKUP(B39,'FTE Allotment Factor'!$B$6:$H$63,7))</f>
        <v>81235685.775232434</v>
      </c>
      <c r="K39" s="267">
        <f>VLOOKUP(A39,'CEO Salary'!$G$7:$H$13,2)</f>
        <v>276569.54367499996</v>
      </c>
      <c r="L39" s="267">
        <f t="shared" si="6"/>
        <v>310625.51977610606</v>
      </c>
      <c r="N39" s="89">
        <f>VLOOKUP(B39,BLS!$B$5:$I$64,8, FALSE)</f>
        <v>1.1231371164321899</v>
      </c>
      <c r="O39" s="94">
        <f t="shared" si="7"/>
        <v>81546311.29500854</v>
      </c>
      <c r="Q39" s="91">
        <f>VLOOKUP(B39,'Program 10'!$A$7:$G$64,6)</f>
        <v>1.6140290669437885E-2</v>
      </c>
      <c r="R39" s="9">
        <f>VLOOKUP(B39,'Program 10'!$A$7:$G$64,7)</f>
        <v>43773.179882653953</v>
      </c>
      <c r="S39" s="91">
        <f>VLOOKUP(B39,'Program 90'!$A$7:$G$64,6)</f>
        <v>1.7257972043702163E-2</v>
      </c>
      <c r="T39" s="9">
        <f>VLOOKUP(B39,'Program 90'!$A$7:$G$64,7)</f>
        <v>52903.41409765157</v>
      </c>
      <c r="U39" s="76">
        <f>(D39*VLOOKUP(B39,'FTE Allotment Factor'!$B$7:$H$64,7,FALSE)*Q39)+(D39*R39)</f>
        <v>40264674.376426779</v>
      </c>
      <c r="V39" s="76">
        <f>((((E39-1)*VLOOKUP(B39,'FTE Allotment Factor'!$B$7:$H$64,7,FALSE))+(K39*N39))*S39)+(T39*E39)</f>
        <v>7762709.9608369321</v>
      </c>
      <c r="W39" s="94">
        <f t="shared" ref="W39:W64" si="9">SUM(U39:V39)</f>
        <v>48027384.337263711</v>
      </c>
      <c r="Y39" s="94">
        <f>F39*(VLOOKUP(A39, 'OE&amp;E by Cluster'!$B$6:$C$9,2,FALSE))</f>
        <v>18098189.817178752</v>
      </c>
      <c r="AA39" s="267">
        <f>'AB1058'!E37</f>
        <v>1430239.8</v>
      </c>
      <c r="AB39" s="94">
        <f t="shared" ref="AB39:AB64" si="10">(O39+W39+Y39)-AA39</f>
        <v>146241645.64945099</v>
      </c>
      <c r="AC39" s="95">
        <f t="shared" ref="AC39:AC64" si="11">AB39/$AB$65</f>
        <v>5.4581909037621487E-2</v>
      </c>
      <c r="AD39" s="57">
        <f t="shared" si="5"/>
        <v>141023.76629648119</v>
      </c>
    </row>
    <row r="40" spans="1:30" s="55" customFormat="1" ht="20.100000000000001" customHeight="1" x14ac:dyDescent="0.25">
      <c r="A40" s="68">
        <v>4</v>
      </c>
      <c r="B40" s="69" t="s">
        <v>57</v>
      </c>
      <c r="D40" s="70">
        <f>RAS!M40</f>
        <v>611</v>
      </c>
      <c r="E40" s="70">
        <f>RAS!Q40</f>
        <v>96</v>
      </c>
      <c r="F40" s="71">
        <f t="shared" si="8"/>
        <v>707</v>
      </c>
      <c r="H40" s="75">
        <f>(F40-1)*'AVG RAS salary'!$F$66</f>
        <v>49290022.571472563</v>
      </c>
      <c r="I40" s="75">
        <f>(F40-1)*(VLOOKUP(B40,'FTE Allotment Factor'!$B$6:$D$63,3))</f>
        <v>65624414.695542939</v>
      </c>
      <c r="J40" s="75">
        <f>(F40-1)*(VLOOKUP(B40,'FTE Allotment Factor'!$B$6:$H$63,7))</f>
        <v>65624414.695542939</v>
      </c>
      <c r="K40" s="267">
        <f>VLOOKUP(A40,'CEO Salary'!$G$7:$H$13,2)</f>
        <v>276569.54367499996</v>
      </c>
      <c r="L40" s="267">
        <f t="shared" si="6"/>
        <v>368222.88729869091</v>
      </c>
      <c r="N40" s="89">
        <f>VLOOKUP(B40,BLS!$B$5:$I$64,8, FALSE)</f>
        <v>1.3313934803009033</v>
      </c>
      <c r="O40" s="94">
        <f t="shared" si="7"/>
        <v>65992637.582841627</v>
      </c>
      <c r="Q40" s="91">
        <f>VLOOKUP(B40,'Program 10'!$A$7:$G$64,6)</f>
        <v>1.4609618355161304E-2</v>
      </c>
      <c r="R40" s="9">
        <f>VLOOKUP(B40,'Program 10'!$A$7:$G$64,7)</f>
        <v>53287.579999084715</v>
      </c>
      <c r="S40" s="91">
        <f>VLOOKUP(B40,'Program 90'!$A$7:$G$64,6)</f>
        <v>1.1830780254501978E-2</v>
      </c>
      <c r="T40" s="9">
        <f>VLOOKUP(B40,'Program 90'!$A$7:$G$64,7)</f>
        <v>63328.546974841243</v>
      </c>
      <c r="U40" s="76">
        <f>(D40*VLOOKUP(B40,'FTE Allotment Factor'!$B$7:$H$64,7,FALSE)*Q40)+(D40*R40)</f>
        <v>33388449.079551164</v>
      </c>
      <c r="V40" s="76">
        <f>((((E40-1)*VLOOKUP(B40,'FTE Allotment Factor'!$B$7:$H$64,7,FALSE))+(K40*N40))*S40)+(T40*E40)</f>
        <v>6188368.3507189853</v>
      </c>
      <c r="W40" s="94">
        <f t="shared" si="9"/>
        <v>39576817.43027015</v>
      </c>
      <c r="Y40" s="94">
        <f>F40*(VLOOKUP(A40, 'OE&amp;E by Cluster'!$B$6:$C$9,2,FALSE))</f>
        <v>12338881.582203835</v>
      </c>
      <c r="AA40" s="267">
        <f>'AB1058'!E38</f>
        <v>1649339.2200000002</v>
      </c>
      <c r="AB40" s="94">
        <f t="shared" si="10"/>
        <v>116258997.37531561</v>
      </c>
      <c r="AC40" s="95">
        <f t="shared" si="11"/>
        <v>4.3391456594760867E-2</v>
      </c>
      <c r="AD40" s="57">
        <f t="shared" si="5"/>
        <v>164439.88313340256</v>
      </c>
    </row>
    <row r="41" spans="1:30" s="55" customFormat="1" ht="20.100000000000001" customHeight="1" x14ac:dyDescent="0.25">
      <c r="A41" s="68">
        <v>1</v>
      </c>
      <c r="B41" s="69" t="s">
        <v>16</v>
      </c>
      <c r="D41" s="70">
        <f>RAS!M41</f>
        <v>25</v>
      </c>
      <c r="E41" s="70">
        <f>RAS!Q41</f>
        <v>7</v>
      </c>
      <c r="F41" s="71">
        <f t="shared" si="8"/>
        <v>32</v>
      </c>
      <c r="H41" s="75">
        <f>(F41-1)*'AVG RAS salary'!$F$66</f>
        <v>2164292.7758012032</v>
      </c>
      <c r="I41" s="75">
        <f>(F41-1)*(VLOOKUP(B41,'FTE Allotment Factor'!$B$6:$D$63,3))</f>
        <v>2218605.6726274062</v>
      </c>
      <c r="J41" s="75">
        <f>(F41-1)*(VLOOKUP(B41,'FTE Allotment Factor'!$B$6:$H$63,7))</f>
        <v>2218605.6726274062</v>
      </c>
      <c r="K41" s="267">
        <f>VLOOKUP(A41,'CEO Salary'!$G$7:$H$13,2)</f>
        <v>129946.26295999998</v>
      </c>
      <c r="L41" s="267">
        <f t="shared" si="6"/>
        <v>133207.26260478437</v>
      </c>
      <c r="N41" s="89">
        <f>VLOOKUP(B41,BLS!$B$5:$I$64,8, FALSE)</f>
        <v>1.0250949859619141</v>
      </c>
      <c r="O41" s="94">
        <f t="shared" si="7"/>
        <v>2351812.9352321904</v>
      </c>
      <c r="Q41" s="91">
        <f>VLOOKUP(B41,'Program 10'!$A$7:$G$64,6)</f>
        <v>1.7804972773802864E-2</v>
      </c>
      <c r="R41" s="9">
        <f>VLOOKUP(B41,'Program 10'!$A$7:$G$64,7)</f>
        <v>51228.764011518302</v>
      </c>
      <c r="S41" s="91">
        <f>VLOOKUP(B41,'Program 90'!$A$7:$G$64,6)</f>
        <v>1.1314835326612732E-2</v>
      </c>
      <c r="T41" s="9">
        <f>VLOOKUP(B41,'Program 90'!$A$7:$G$64,7)</f>
        <v>42520.984250000001</v>
      </c>
      <c r="U41" s="76">
        <f>(D41*VLOOKUP(B41,'FTE Allotment Factor'!$B$7:$H$64,7,FALSE)*Q41)+(D41*R41)</f>
        <v>1312575.724156454</v>
      </c>
      <c r="V41" s="76">
        <f>((((E41-1)*VLOOKUP(B41,'FTE Allotment Factor'!$B$7:$H$64,7,FALSE))+(K41*N41))*S41)+(T41*E41)</f>
        <v>304012.78370174032</v>
      </c>
      <c r="W41" s="94">
        <f t="shared" si="9"/>
        <v>1616588.5078581944</v>
      </c>
      <c r="Y41" s="94">
        <f>F41*(VLOOKUP(A41, 'OE&amp;E by Cluster'!$B$6:$C$9,2,FALSE))</f>
        <v>900272.54368550342</v>
      </c>
      <c r="AA41" s="267">
        <f>'AB1058'!E39</f>
        <v>206236.48</v>
      </c>
      <c r="AB41" s="94">
        <f t="shared" si="10"/>
        <v>4662437.5067758877</v>
      </c>
      <c r="AC41" s="95">
        <f t="shared" si="11"/>
        <v>1.7401660023605703E-3</v>
      </c>
      <c r="AD41" s="57">
        <f t="shared" si="5"/>
        <v>145701.17208674649</v>
      </c>
    </row>
    <row r="42" spans="1:30" s="55" customFormat="1" ht="20.100000000000001" customHeight="1" x14ac:dyDescent="0.25">
      <c r="A42" s="68">
        <v>4</v>
      </c>
      <c r="B42" s="69" t="s">
        <v>58</v>
      </c>
      <c r="D42" s="70">
        <f>RAS!M42</f>
        <v>1022</v>
      </c>
      <c r="E42" s="70">
        <f>RAS!Q42</f>
        <v>157</v>
      </c>
      <c r="F42" s="71">
        <f t="shared" si="8"/>
        <v>1179</v>
      </c>
      <c r="H42" s="75">
        <f>(F42-1)*'AVG RAS salary'!$F$66</f>
        <v>82243125.480445713</v>
      </c>
      <c r="I42" s="75">
        <f>(F42-1)*(VLOOKUP(B42,'FTE Allotment Factor'!$B$6:$D$63,3))</f>
        <v>88866305.533106372</v>
      </c>
      <c r="J42" s="75">
        <f>(F42-1)*(VLOOKUP(B42,'FTE Allotment Factor'!$B$6:$H$63,7))</f>
        <v>88866305.533106372</v>
      </c>
      <c r="K42" s="267">
        <f>VLOOKUP(A42,'CEO Salary'!$G$7:$H$13,2)</f>
        <v>276569.54367499996</v>
      </c>
      <c r="L42" s="267">
        <f t="shared" si="6"/>
        <v>298842.16371638258</v>
      </c>
      <c r="N42" s="89">
        <f>VLOOKUP(B42,BLS!$B$5:$I$64,8, FALSE)</f>
        <v>1.0805317163467407</v>
      </c>
      <c r="O42" s="94">
        <f t="shared" si="7"/>
        <v>89165147.696822748</v>
      </c>
      <c r="Q42" s="91">
        <f>VLOOKUP(B42,'Program 10'!$A$7:$G$64,6)</f>
        <v>8.9312153310234128E-3</v>
      </c>
      <c r="R42" s="9">
        <f>VLOOKUP(B42,'Program 10'!$A$7:$G$64,7)</f>
        <v>38120.060653372493</v>
      </c>
      <c r="S42" s="91">
        <f>VLOOKUP(B42,'Program 90'!$A$7:$G$64,6)</f>
        <v>2.8170741738380675E-2</v>
      </c>
      <c r="T42" s="9">
        <f>VLOOKUP(B42,'Program 90'!$A$7:$G$64,7)</f>
        <v>46914.383997038742</v>
      </c>
      <c r="U42" s="76">
        <f>(D42*VLOOKUP(B42,'FTE Allotment Factor'!$B$7:$H$64,7,FALSE)*Q42)+(D42*R42)</f>
        <v>39647280.222735852</v>
      </c>
      <c r="V42" s="76">
        <f>((((E42-1)*VLOOKUP(B42,'FTE Allotment Factor'!$B$7:$H$64,7,FALSE))+(K42*N42))*S42)+(T42*E42)</f>
        <v>7705500.6958504217</v>
      </c>
      <c r="W42" s="94">
        <f t="shared" si="9"/>
        <v>47352780.918586276</v>
      </c>
      <c r="Y42" s="94">
        <f>F42*(VLOOKUP(A42, 'OE&amp;E by Cluster'!$B$6:$C$9,2,FALSE))</f>
        <v>20576437.603137653</v>
      </c>
      <c r="AA42" s="267">
        <f>'AB1058'!E40</f>
        <v>4040887.3900000006</v>
      </c>
      <c r="AB42" s="94">
        <f t="shared" si="10"/>
        <v>153053478.82854664</v>
      </c>
      <c r="AC42" s="95">
        <f t="shared" si="11"/>
        <v>5.7124296039010154E-2</v>
      </c>
      <c r="AD42" s="57">
        <f t="shared" si="5"/>
        <v>129816.3518477919</v>
      </c>
    </row>
    <row r="43" spans="1:30" s="55" customFormat="1" ht="20.100000000000001" customHeight="1" x14ac:dyDescent="0.25">
      <c r="A43" s="68">
        <v>4</v>
      </c>
      <c r="B43" s="69" t="s">
        <v>59</v>
      </c>
      <c r="D43" s="70">
        <f>RAS!M43</f>
        <v>1032</v>
      </c>
      <c r="E43" s="70">
        <f>RAS!Q43</f>
        <v>159</v>
      </c>
      <c r="F43" s="71">
        <f t="shared" si="8"/>
        <v>1191</v>
      </c>
      <c r="H43" s="75">
        <f>(F43-1)*'AVG RAS salary'!$F$66</f>
        <v>83080916.232368767</v>
      </c>
      <c r="I43" s="75">
        <f>(F43-1)*(VLOOKUP(B43,'FTE Allotment Factor'!$B$6:$D$63,3))</f>
        <v>96998912.473265111</v>
      </c>
      <c r="J43" s="75">
        <f>(F43-1)*(VLOOKUP(B43,'FTE Allotment Factor'!$B$6:$H$63,7))</f>
        <v>96998912.473265111</v>
      </c>
      <c r="K43" s="267">
        <f>VLOOKUP(A43,'CEO Salary'!$G$7:$H$13,2)</f>
        <v>276569.54367499996</v>
      </c>
      <c r="L43" s="267">
        <f t="shared" si="6"/>
        <v>322901.40956883517</v>
      </c>
      <c r="N43" s="89">
        <f>VLOOKUP(B43,BLS!$B$5:$I$64,8, FALSE)</f>
        <v>1.1675233840942383</v>
      </c>
      <c r="O43" s="94">
        <f t="shared" si="7"/>
        <v>97321813.882833943</v>
      </c>
      <c r="Q43" s="91">
        <f>VLOOKUP(B43,'Program 10'!$A$7:$G$64,6)</f>
        <v>2.4282576978757367E-2</v>
      </c>
      <c r="R43" s="9">
        <f>VLOOKUP(B43,'Program 10'!$A$7:$G$64,7)</f>
        <v>55256.598558331112</v>
      </c>
      <c r="S43" s="91">
        <f>VLOOKUP(B43,'Program 90'!$A$7:$G$64,6)</f>
        <v>2.0295056829847658E-2</v>
      </c>
      <c r="T43" s="9">
        <f>VLOOKUP(B43,'Program 90'!$A$7:$G$64,7)</f>
        <v>64399.424006538415</v>
      </c>
      <c r="U43" s="76">
        <f>(D43*VLOOKUP(B43,'FTE Allotment Factor'!$B$7:$H$64,7,FALSE)*Q43)+(D43*R43)</f>
        <v>59067461.672597215</v>
      </c>
      <c r="V43" s="76">
        <f>((((E43-1)*VLOOKUP(B43,'FTE Allotment Factor'!$B$7:$H$64,7,FALSE))+(K43*N43))*S43)+(T43*E43)</f>
        <v>10507438.655371511</v>
      </c>
      <c r="W43" s="94">
        <f t="shared" si="9"/>
        <v>69574900.327968732</v>
      </c>
      <c r="Y43" s="94">
        <f>F43*(VLOOKUP(A43, 'OE&amp;E by Cluster'!$B$6:$C$9,2,FALSE))</f>
        <v>20785866.993500378</v>
      </c>
      <c r="AA43" s="267">
        <f>'AB1058'!E41</f>
        <v>2985560</v>
      </c>
      <c r="AB43" s="94">
        <f t="shared" si="10"/>
        <v>184697021.20430306</v>
      </c>
      <c r="AC43" s="95">
        <f t="shared" si="11"/>
        <v>6.8934645573244496E-2</v>
      </c>
      <c r="AD43" s="57">
        <f t="shared" si="5"/>
        <v>155077.26381553573</v>
      </c>
    </row>
    <row r="44" spans="1:30" s="55" customFormat="1" ht="20.100000000000001" customHeight="1" x14ac:dyDescent="0.25">
      <c r="A44" s="68">
        <v>3</v>
      </c>
      <c r="B44" s="69" t="s">
        <v>60</v>
      </c>
      <c r="D44" s="70">
        <f>RAS!M44</f>
        <v>263</v>
      </c>
      <c r="E44" s="70">
        <f>RAS!Q44</f>
        <v>42</v>
      </c>
      <c r="F44" s="71">
        <f t="shared" si="8"/>
        <v>305</v>
      </c>
      <c r="H44" s="75">
        <f>(F44-1)*'AVG RAS salary'!$F$66</f>
        <v>21224032.382050507</v>
      </c>
      <c r="I44" s="75">
        <f>(F44-1)*(VLOOKUP(B44,'FTE Allotment Factor'!$B$6:$D$63,3))</f>
        <v>34656479.578779072</v>
      </c>
      <c r="J44" s="75">
        <f>(F44-1)*(VLOOKUP(B44,'FTE Allotment Factor'!$B$6:$H$63,7))</f>
        <v>34656479.578779072</v>
      </c>
      <c r="K44" s="267">
        <f>VLOOKUP(A44,'CEO Salary'!$G$7:$H$13,2)</f>
        <v>215703.69717692307</v>
      </c>
      <c r="L44" s="267">
        <f t="shared" si="6"/>
        <v>352220.09850500186</v>
      </c>
      <c r="N44" s="89">
        <f>VLOOKUP(B44,BLS!$B$5:$I$64,8, FALSE)</f>
        <v>1.6328885555267334</v>
      </c>
      <c r="O44" s="94">
        <f t="shared" si="7"/>
        <v>35008699.677284077</v>
      </c>
      <c r="Q44" s="91">
        <f>VLOOKUP(B44,'Program 10'!$A$7:$G$64,6)</f>
        <v>2.2742129613964115E-2</v>
      </c>
      <c r="R44" s="9">
        <f>VLOOKUP(B44,'Program 10'!$A$7:$G$64,7)</f>
        <v>54593.004486834485</v>
      </c>
      <c r="S44" s="91">
        <f>VLOOKUP(B44,'Program 90'!$A$7:$G$64,6)</f>
        <v>1.899626112176175E-2</v>
      </c>
      <c r="T44" s="9">
        <f>VLOOKUP(B44,'Program 90'!$A$7:$G$64,7)</f>
        <v>61506.905494238097</v>
      </c>
      <c r="U44" s="76">
        <f>(D44*VLOOKUP(B44,'FTE Allotment Factor'!$B$7:$H$64,7,FALSE)*Q44)+(D44*R44)</f>
        <v>15039824.145804407</v>
      </c>
      <c r="V44" s="76">
        <f>((((E44-1)*VLOOKUP(B44,'FTE Allotment Factor'!$B$7:$H$64,7,FALSE))+(K44*N44))*S44)+(T44*E44)</f>
        <v>2678770.6488834387</v>
      </c>
      <c r="W44" s="94">
        <f t="shared" si="9"/>
        <v>17718594.794687845</v>
      </c>
      <c r="Y44" s="94">
        <f>F44*(VLOOKUP(A44, 'OE&amp;E by Cluster'!$B$6:$C$9,2,FALSE))</f>
        <v>5322997.005052574</v>
      </c>
      <c r="AA44" s="267">
        <f>'AB1058'!E42</f>
        <v>1213839.57</v>
      </c>
      <c r="AB44" s="94">
        <f t="shared" si="10"/>
        <v>56836451.907024495</v>
      </c>
      <c r="AC44" s="95">
        <f t="shared" si="11"/>
        <v>2.1213123212840471E-2</v>
      </c>
      <c r="AD44" s="57">
        <f t="shared" si="5"/>
        <v>186349.02264598195</v>
      </c>
    </row>
    <row r="45" spans="1:30" s="55" customFormat="1" ht="20.100000000000001" customHeight="1" x14ac:dyDescent="0.25">
      <c r="A45" s="68">
        <v>3</v>
      </c>
      <c r="B45" s="69" t="s">
        <v>45</v>
      </c>
      <c r="D45" s="70">
        <f>RAS!M45</f>
        <v>340</v>
      </c>
      <c r="E45" s="70">
        <f>RAS!Q45</f>
        <v>51</v>
      </c>
      <c r="F45" s="71">
        <f t="shared" si="8"/>
        <v>391</v>
      </c>
      <c r="H45" s="75">
        <f>(F45-1)*'AVG RAS salary'!$F$66</f>
        <v>27228199.437499005</v>
      </c>
      <c r="I45" s="75">
        <f>(F45-1)*(VLOOKUP(B45,'FTE Allotment Factor'!$B$6:$D$63,3))</f>
        <v>28585589.743395597</v>
      </c>
      <c r="J45" s="75">
        <f>(F45-1)*(VLOOKUP(B45,'FTE Allotment Factor'!$B$6:$H$63,7))</f>
        <v>28585589.743395597</v>
      </c>
      <c r="K45" s="267">
        <f>VLOOKUP(A45,'CEO Salary'!$G$7:$H$13,2)</f>
        <v>215703.69717692307</v>
      </c>
      <c r="L45" s="267">
        <f t="shared" si="6"/>
        <v>226457.03796121193</v>
      </c>
      <c r="N45" s="89">
        <f>VLOOKUP(B45,BLS!$B$5:$I$64,8, FALSE)</f>
        <v>1.0498523712158203</v>
      </c>
      <c r="O45" s="94">
        <f t="shared" si="7"/>
        <v>28812046.781356808</v>
      </c>
      <c r="Q45" s="91">
        <f>VLOOKUP(B45,'Program 10'!$A$7:$G$64,6)</f>
        <v>3.9658793642111025E-3</v>
      </c>
      <c r="R45" s="9">
        <f>VLOOKUP(B45,'Program 10'!$A$7:$G$64,7)</f>
        <v>49755.072465422913</v>
      </c>
      <c r="S45" s="91">
        <f>VLOOKUP(B45,'Program 90'!$A$7:$G$64,6)</f>
        <v>2.9224595715952031E-3</v>
      </c>
      <c r="T45" s="9">
        <f>VLOOKUP(B45,'Program 90'!$A$7:$G$64,7)</f>
        <v>68137.721013504837</v>
      </c>
      <c r="U45" s="76">
        <f>(D45*VLOOKUP(B45,'FTE Allotment Factor'!$B$7:$H$64,7,FALSE)*Q45)+(D45*R45)</f>
        <v>17015557.407890525</v>
      </c>
      <c r="V45" s="76">
        <f>((((E45-1)*VLOOKUP(B45,'FTE Allotment Factor'!$B$7:$H$64,7,FALSE))+(K45*N45))*S45)+(T45*E45)</f>
        <v>3486395.8691698764</v>
      </c>
      <c r="W45" s="94">
        <f t="shared" si="9"/>
        <v>20501953.277060401</v>
      </c>
      <c r="Y45" s="94">
        <f>F45*(VLOOKUP(A45, 'OE&amp;E by Cluster'!$B$6:$C$9,2,FALSE))</f>
        <v>6823907.6359854313</v>
      </c>
      <c r="AA45" s="267">
        <f>'AB1058'!E43</f>
        <v>860193.60999999987</v>
      </c>
      <c r="AB45" s="94">
        <f t="shared" si="10"/>
        <v>55277714.084402643</v>
      </c>
      <c r="AC45" s="95">
        <f t="shared" si="11"/>
        <v>2.0631354007016676E-2</v>
      </c>
      <c r="AD45" s="57">
        <f t="shared" si="5"/>
        <v>141375.2278373469</v>
      </c>
    </row>
    <row r="46" spans="1:30" s="55" customFormat="1" ht="20.100000000000001" customHeight="1" x14ac:dyDescent="0.25">
      <c r="A46" s="68">
        <v>2</v>
      </c>
      <c r="B46" s="69" t="s">
        <v>32</v>
      </c>
      <c r="D46" s="70">
        <f>RAS!M46</f>
        <v>122</v>
      </c>
      <c r="E46" s="70">
        <f>RAS!Q46</f>
        <v>24</v>
      </c>
      <c r="F46" s="71">
        <f t="shared" si="8"/>
        <v>146</v>
      </c>
      <c r="H46" s="75">
        <f>(F46-1)*'AVG RAS salary'!$F$66</f>
        <v>10123304.919070143</v>
      </c>
      <c r="I46" s="75">
        <f>(F46-1)*(VLOOKUP(B46,'FTE Allotment Factor'!$B$6:$D$63,3))</f>
        <v>10628101.180193249</v>
      </c>
      <c r="J46" s="75">
        <f>(F46-1)*(VLOOKUP(B46,'FTE Allotment Factor'!$B$6:$H$63,7))</f>
        <v>10628101.180193249</v>
      </c>
      <c r="K46" s="267">
        <f>VLOOKUP(A46,'CEO Salary'!$G$7:$H$13,2)</f>
        <v>196515.16763636365</v>
      </c>
      <c r="L46" s="267">
        <f t="shared" si="6"/>
        <v>206314.35107199688</v>
      </c>
      <c r="N46" s="89">
        <f>VLOOKUP(B46,BLS!$B$5:$I$64,8, FALSE)</f>
        <v>1.0498647689819336</v>
      </c>
      <c r="O46" s="94">
        <f t="shared" si="7"/>
        <v>10834415.531265246</v>
      </c>
      <c r="Q46" s="91">
        <f>VLOOKUP(B46,'Program 10'!$A$7:$G$64,6)</f>
        <v>1.8347193833030632E-2</v>
      </c>
      <c r="R46" s="9">
        <f>VLOOKUP(B46,'Program 10'!$A$7:$G$64,7)</f>
        <v>43260.892663223225</v>
      </c>
      <c r="S46" s="91">
        <f>VLOOKUP(B46,'Program 90'!$A$7:$G$64,6)</f>
        <v>1.3434800612264659E-2</v>
      </c>
      <c r="T46" s="9">
        <f>VLOOKUP(B46,'Program 90'!$A$7:$G$64,7)</f>
        <v>55585.927873333327</v>
      </c>
      <c r="U46" s="76">
        <f>(D46*VLOOKUP(B46,'FTE Allotment Factor'!$B$7:$H$64,7,FALSE)*Q46)+(D46*R46)</f>
        <v>5441894.3639233587</v>
      </c>
      <c r="V46" s="76">
        <f>((((E46-1)*VLOOKUP(B46,'FTE Allotment Factor'!$B$7:$H$64,7,FALSE))+(K46*N46))*S46)+(T46*E46)</f>
        <v>1359482.9415824183</v>
      </c>
      <c r="W46" s="94">
        <f t="shared" si="9"/>
        <v>6801377.3055057768</v>
      </c>
      <c r="Y46" s="94">
        <f>F46*(VLOOKUP(A46, 'OE&amp;E by Cluster'!$B$6:$C$9,2,FALSE))</f>
        <v>2548057.5827464783</v>
      </c>
      <c r="AA46" s="267">
        <f>'AB1058'!E44</f>
        <v>210366.79</v>
      </c>
      <c r="AB46" s="94">
        <f t="shared" si="10"/>
        <v>19973483.629517503</v>
      </c>
      <c r="AC46" s="95">
        <f t="shared" si="11"/>
        <v>7.4547223657752855E-3</v>
      </c>
      <c r="AD46" s="57">
        <f t="shared" si="5"/>
        <v>136804.6823939555</v>
      </c>
    </row>
    <row r="47" spans="1:30" s="55" customFormat="1" ht="20.100000000000001" customHeight="1" x14ac:dyDescent="0.25">
      <c r="A47" s="68">
        <v>3</v>
      </c>
      <c r="B47" s="69" t="s">
        <v>46</v>
      </c>
      <c r="D47" s="70">
        <f>RAS!M47</f>
        <v>231</v>
      </c>
      <c r="E47" s="70">
        <f>RAS!Q47</f>
        <v>35</v>
      </c>
      <c r="F47" s="71">
        <f t="shared" si="8"/>
        <v>266</v>
      </c>
      <c r="H47" s="75">
        <f>(F47-1)*'AVG RAS salary'!$F$66</f>
        <v>18501212.438300606</v>
      </c>
      <c r="I47" s="75">
        <f>(F47-1)*(VLOOKUP(B47,'FTE Allotment Factor'!$B$6:$D$63,3))</f>
        <v>27792259.005988915</v>
      </c>
      <c r="J47" s="75">
        <f>(F47-1)*(VLOOKUP(B47,'FTE Allotment Factor'!$B$6:$H$63,7))</f>
        <v>27792259.005988915</v>
      </c>
      <c r="K47" s="267">
        <f>VLOOKUP(A47,'CEO Salary'!$G$7:$H$13,2)</f>
        <v>215703.69717692307</v>
      </c>
      <c r="L47" s="267">
        <f t="shared" si="6"/>
        <v>324027.03555146547</v>
      </c>
      <c r="N47" s="89">
        <f>VLOOKUP(B47,BLS!$B$5:$I$64,8, FALSE)</f>
        <v>1.5021858215332031</v>
      </c>
      <c r="O47" s="94">
        <f t="shared" si="7"/>
        <v>28116286.041540381</v>
      </c>
      <c r="Q47" s="91">
        <f>VLOOKUP(B47,'Program 10'!$A$7:$G$64,6)</f>
        <v>1.6096828062148134E-2</v>
      </c>
      <c r="R47" s="9">
        <f>VLOOKUP(B47,'Program 10'!$A$7:$G$64,7)</f>
        <v>56380.026157951608</v>
      </c>
      <c r="S47" s="91">
        <f>VLOOKUP(B47,'Program 90'!$A$7:$G$64,6)</f>
        <v>1.421788951157155E-2</v>
      </c>
      <c r="T47" s="9">
        <f>VLOOKUP(B47,'Program 90'!$A$7:$G$64,7)</f>
        <v>61558.375408247819</v>
      </c>
      <c r="U47" s="76">
        <f>(D47*VLOOKUP(B47,'FTE Allotment Factor'!$B$7:$H$64,7,FALSE)*Q47)+(D47*R47)</f>
        <v>13413755.19943263</v>
      </c>
      <c r="V47" s="76">
        <f>((((E47-1)*VLOOKUP(B47,'FTE Allotment Factor'!$B$7:$H$64,7,FALSE))+(K47*N47))*S47)+(T47*E47)</f>
        <v>2209848.2599016251</v>
      </c>
      <c r="W47" s="94">
        <f t="shared" si="9"/>
        <v>15623603.459334254</v>
      </c>
      <c r="Y47" s="94">
        <f>F47*(VLOOKUP(A47, 'OE&amp;E by Cluster'!$B$6:$C$9,2,FALSE))</f>
        <v>4642351.4863737207</v>
      </c>
      <c r="AA47" s="267">
        <f>'AB1058'!E45</f>
        <v>566308.98</v>
      </c>
      <c r="AB47" s="94">
        <f t="shared" si="10"/>
        <v>47815932.007248364</v>
      </c>
      <c r="AC47" s="95">
        <f t="shared" si="11"/>
        <v>1.7846385957832812E-2</v>
      </c>
      <c r="AD47" s="57">
        <f t="shared" si="5"/>
        <v>179759.14288439235</v>
      </c>
    </row>
    <row r="48" spans="1:30" s="55" customFormat="1" ht="20.100000000000001" customHeight="1" x14ac:dyDescent="0.25">
      <c r="A48" s="68">
        <v>3</v>
      </c>
      <c r="B48" s="69" t="s">
        <v>47</v>
      </c>
      <c r="D48" s="70">
        <f>RAS!M48</f>
        <v>170</v>
      </c>
      <c r="E48" s="70">
        <f>RAS!Q48</f>
        <v>27</v>
      </c>
      <c r="F48" s="71">
        <f t="shared" si="8"/>
        <v>197</v>
      </c>
      <c r="H48" s="75">
        <f>(F48-1)*'AVG RAS salary'!$F$66</f>
        <v>13683915.614743091</v>
      </c>
      <c r="I48" s="75">
        <f>(F48-1)*(VLOOKUP(B48,'FTE Allotment Factor'!$B$6:$D$63,3))</f>
        <v>16735697.000407569</v>
      </c>
      <c r="J48" s="75">
        <f>(F48-1)*(VLOOKUP(B48,'FTE Allotment Factor'!$B$6:$H$63,7))</f>
        <v>16735697.000407569</v>
      </c>
      <c r="K48" s="267">
        <f>VLOOKUP(A48,'CEO Salary'!$G$7:$H$13,2)</f>
        <v>215703.69717692307</v>
      </c>
      <c r="L48" s="267">
        <f t="shared" si="6"/>
        <v>263809.84942140989</v>
      </c>
      <c r="N48" s="89">
        <f>VLOOKUP(B48,BLS!$B$5:$I$64,8, FALSE)</f>
        <v>1.2230195999145508</v>
      </c>
      <c r="O48" s="94">
        <f t="shared" si="7"/>
        <v>16999506.849828981</v>
      </c>
      <c r="Q48" s="91">
        <f>VLOOKUP(B48,'Program 10'!$A$7:$G$64,6)</f>
        <v>8.8963426382465574E-4</v>
      </c>
      <c r="R48" s="9">
        <f>VLOOKUP(B48,'Program 10'!$A$7:$G$64,7)</f>
        <v>40739.634183660812</v>
      </c>
      <c r="S48" s="91">
        <f>VLOOKUP(B48,'Program 90'!$A$7:$G$64,6)</f>
        <v>6.2808945105386122E-4</v>
      </c>
      <c r="T48" s="9">
        <f>VLOOKUP(B48,'Program 90'!$A$7:$G$64,7)</f>
        <v>54074.686542205731</v>
      </c>
      <c r="U48" s="76">
        <f>(D48*VLOOKUP(B48,'FTE Allotment Factor'!$B$7:$H$64,7,FALSE)*Q48)+(D48*R48)</f>
        <v>6938651.435771795</v>
      </c>
      <c r="V48" s="76">
        <f>((((E48-1)*VLOOKUP(B48,'FTE Allotment Factor'!$B$7:$H$64,7,FALSE))+(K48*N48))*S48)+(T48*E48)</f>
        <v>1461576.6174316916</v>
      </c>
      <c r="W48" s="94">
        <f t="shared" si="9"/>
        <v>8400228.0532034859</v>
      </c>
      <c r="Y48" s="94">
        <f>F48*(VLOOKUP(A48, 'OE&amp;E by Cluster'!$B$6:$C$9,2,FALSE))</f>
        <v>3438132.4917880562</v>
      </c>
      <c r="AA48" s="267">
        <f>'AB1058'!E46</f>
        <v>650919.77</v>
      </c>
      <c r="AB48" s="94">
        <f t="shared" si="10"/>
        <v>28186947.624820523</v>
      </c>
      <c r="AC48" s="95">
        <f t="shared" si="11"/>
        <v>1.0520241374977516E-2</v>
      </c>
      <c r="AD48" s="57">
        <f t="shared" si="5"/>
        <v>143080.95241025646</v>
      </c>
    </row>
    <row r="49" spans="1:30" s="55" customFormat="1" ht="20.100000000000001" customHeight="1" x14ac:dyDescent="0.25">
      <c r="A49" s="68">
        <v>4</v>
      </c>
      <c r="B49" s="69" t="s">
        <v>61</v>
      </c>
      <c r="D49" s="70">
        <f>RAS!M49</f>
        <v>496</v>
      </c>
      <c r="E49" s="70">
        <f>RAS!Q49</f>
        <v>75</v>
      </c>
      <c r="F49" s="71">
        <f t="shared" si="8"/>
        <v>571</v>
      </c>
      <c r="H49" s="75">
        <f>(F49-1)*'AVG RAS salary'!$F$66</f>
        <v>39795060.716344699</v>
      </c>
      <c r="I49" s="75">
        <f>(F49-1)*(VLOOKUP(B49,'FTE Allotment Factor'!$B$6:$D$63,3))</f>
        <v>59005027.99791085</v>
      </c>
      <c r="J49" s="75">
        <f>(F49-1)*(VLOOKUP(B49,'FTE Allotment Factor'!$B$6:$H$63,7))</f>
        <v>59005027.99791085</v>
      </c>
      <c r="K49" s="267">
        <f>VLOOKUP(A49,'CEO Salary'!$G$7:$H$13,2)</f>
        <v>276569.54367499996</v>
      </c>
      <c r="L49" s="267">
        <f>IF(N49&lt;&gt;0,N49*K49,K49)</f>
        <v>410075.85801245511</v>
      </c>
      <c r="N49" s="89">
        <f>VLOOKUP(B49,BLS!$B$5:$I$64,8, FALSE)</f>
        <v>1.4827224016189575</v>
      </c>
      <c r="O49" s="94">
        <f t="shared" si="7"/>
        <v>59415103.855923302</v>
      </c>
      <c r="Q49" s="91">
        <f>VLOOKUP(B49,'Program 10'!$A$7:$G$64,6)</f>
        <v>3.4594319107674618E-2</v>
      </c>
      <c r="R49" s="9">
        <f>VLOOKUP(B49,'Program 10'!$A$7:$G$64,7)</f>
        <v>52771.374755116965</v>
      </c>
      <c r="S49" s="91">
        <f>VLOOKUP(B49,'Program 90'!$A$7:$G$64,6)</f>
        <v>3.1510749524852943E-2</v>
      </c>
      <c r="T49" s="9">
        <f>VLOOKUP(B49,'Program 90'!$A$7:$G$64,7)</f>
        <v>57528.852337747216</v>
      </c>
      <c r="U49" s="76">
        <f>(D49*VLOOKUP(B49,'FTE Allotment Factor'!$B$7:$H$64,7,FALSE)*Q49)+(D49*R49)</f>
        <v>27950837.718342286</v>
      </c>
      <c r="V49" s="76">
        <f>((((E49-1)*VLOOKUP(B49,'FTE Allotment Factor'!$B$7:$H$64,7,FALSE))+(K49*N49))*S49)+(T49*E49)</f>
        <v>4568967.5768180676</v>
      </c>
      <c r="W49" s="94">
        <f t="shared" si="9"/>
        <v>32519805.295160353</v>
      </c>
      <c r="Y49" s="94">
        <f>F49*(VLOOKUP(A49, 'OE&amp;E by Cluster'!$B$6:$C$9,2,FALSE))</f>
        <v>9965348.4914262947</v>
      </c>
      <c r="AA49" s="267">
        <f>'AB1058'!E47</f>
        <v>1861299.3800000001</v>
      </c>
      <c r="AB49" s="94">
        <f t="shared" si="10"/>
        <v>100038958.26250994</v>
      </c>
      <c r="AC49" s="95">
        <f t="shared" si="11"/>
        <v>3.7337635909755841E-2</v>
      </c>
      <c r="AD49" s="57">
        <f t="shared" si="5"/>
        <v>175199.57664187381</v>
      </c>
    </row>
    <row r="50" spans="1:30" s="55" customFormat="1" ht="20.100000000000001" customHeight="1" x14ac:dyDescent="0.25">
      <c r="A50" s="68">
        <v>2</v>
      </c>
      <c r="B50" s="69" t="s">
        <v>33</v>
      </c>
      <c r="D50" s="70">
        <f>RAS!M50</f>
        <v>102</v>
      </c>
      <c r="E50" s="70">
        <f>RAS!Q50</f>
        <v>22</v>
      </c>
      <c r="F50" s="71">
        <f t="shared" si="8"/>
        <v>124</v>
      </c>
      <c r="H50" s="75">
        <f>(F50-1)*'AVG RAS salary'!$F$66</f>
        <v>8587355.2072112244</v>
      </c>
      <c r="I50" s="75">
        <f>(F50-1)*(VLOOKUP(B50,'FTE Allotment Factor'!$B$6:$D$63,3))</f>
        <v>9999674.1568194609</v>
      </c>
      <c r="J50" s="75">
        <f>(F50-1)*(VLOOKUP(B50,'FTE Allotment Factor'!$B$6:$H$63,7))</f>
        <v>9999674.1568194609</v>
      </c>
      <c r="K50" s="267">
        <f>VLOOKUP(A50,'CEO Salary'!$G$7:$H$13,2)</f>
        <v>196515.16763636365</v>
      </c>
      <c r="L50" s="267">
        <f t="shared" si="6"/>
        <v>228835.02496626769</v>
      </c>
      <c r="N50" s="89">
        <f>VLOOKUP(B50,BLS!$B$5:$I$64,8, FALSE)</f>
        <v>1.1644649505615234</v>
      </c>
      <c r="O50" s="94">
        <f t="shared" si="7"/>
        <v>10228509.181785729</v>
      </c>
      <c r="Q50" s="91">
        <f>VLOOKUP(B50,'Program 10'!$A$7:$G$64,6)</f>
        <v>3.2093539439382361E-2</v>
      </c>
      <c r="R50" s="9">
        <f>VLOOKUP(B50,'Program 10'!$A$7:$G$64,7)</f>
        <v>42324.940311172839</v>
      </c>
      <c r="S50" s="91">
        <f>VLOOKUP(B50,'Program 90'!$A$7:$G$64,6)</f>
        <v>4.0144028624448186E-2</v>
      </c>
      <c r="T50" s="9">
        <f>VLOOKUP(B50,'Program 90'!$A$7:$G$64,7)</f>
        <v>55903.604320384606</v>
      </c>
      <c r="U50" s="76">
        <f>(D50*VLOOKUP(B50,'FTE Allotment Factor'!$B$7:$H$64,7,FALSE)*Q50)+(D50*R50)</f>
        <v>4583276.7862693164</v>
      </c>
      <c r="V50" s="76">
        <f>((((E50-1)*VLOOKUP(B50,'FTE Allotment Factor'!$B$7:$H$64,7,FALSE))+(K50*N50))*S50)+(T50*E50)</f>
        <v>1307602.0070142909</v>
      </c>
      <c r="W50" s="94">
        <f t="shared" si="9"/>
        <v>5890878.7932836078</v>
      </c>
      <c r="Y50" s="94">
        <f>F50*(VLOOKUP(A50, 'OE&amp;E by Cluster'!$B$6:$C$9,2,FALSE))</f>
        <v>2164103.7004148168</v>
      </c>
      <c r="AA50" s="267">
        <f>'AB1058'!E48</f>
        <v>283964.21000000002</v>
      </c>
      <c r="AB50" s="94">
        <f t="shared" si="10"/>
        <v>17999527.465484153</v>
      </c>
      <c r="AC50" s="95">
        <f t="shared" si="11"/>
        <v>6.7179808219350002E-3</v>
      </c>
      <c r="AD50" s="57">
        <f t="shared" si="5"/>
        <v>145157.47956035606</v>
      </c>
    </row>
    <row r="51" spans="1:30" s="55" customFormat="1" ht="20.100000000000001" customHeight="1" x14ac:dyDescent="0.25">
      <c r="A51" s="68">
        <v>2</v>
      </c>
      <c r="B51" s="69" t="s">
        <v>34</v>
      </c>
      <c r="D51" s="70">
        <f>RAS!M51</f>
        <v>127</v>
      </c>
      <c r="E51" s="70">
        <f>RAS!Q51</f>
        <v>33</v>
      </c>
      <c r="F51" s="71">
        <f t="shared" si="8"/>
        <v>160</v>
      </c>
      <c r="H51" s="75">
        <f>(F51-1)*'AVG RAS salary'!$F$66</f>
        <v>11100727.462980364</v>
      </c>
      <c r="I51" s="75">
        <f>(F51-1)*(VLOOKUP(B51,'FTE Allotment Factor'!$B$6:$D$63,3))</f>
        <v>9706486.8981901668</v>
      </c>
      <c r="J51" s="75">
        <f>(F51-1)*(VLOOKUP(B51,'FTE Allotment Factor'!$B$6:$H$63,7))</f>
        <v>9706486.8981901668</v>
      </c>
      <c r="K51" s="267">
        <f>VLOOKUP(A51,'CEO Salary'!$G$7:$H$13,2)</f>
        <v>196515.16763636365</v>
      </c>
      <c r="L51" s="267">
        <f t="shared" si="6"/>
        <v>171833.05385338078</v>
      </c>
      <c r="N51" s="89">
        <f>VLOOKUP(B51,BLS!$B$5:$I$64,8, FALSE)</f>
        <v>0.87440097332000732</v>
      </c>
      <c r="O51" s="94">
        <f t="shared" si="7"/>
        <v>9878319.9520435482</v>
      </c>
      <c r="Q51" s="91">
        <f>VLOOKUP(B51,'Program 10'!$A$7:$G$64,6)</f>
        <v>3.2646748021645626E-2</v>
      </c>
      <c r="R51" s="9">
        <f>VLOOKUP(B51,'Program 10'!$A$7:$G$64,7)</f>
        <v>26879.052632472434</v>
      </c>
      <c r="S51" s="91">
        <f>VLOOKUP(B51,'Program 90'!$A$7:$G$64,6)</f>
        <v>3.4107321556968204E-2</v>
      </c>
      <c r="T51" s="9">
        <f>VLOOKUP(B51,'Program 90'!$A$7:$G$64,7)</f>
        <v>38805.298891590908</v>
      </c>
      <c r="U51" s="76">
        <f>(D51*VLOOKUP(B51,'FTE Allotment Factor'!$B$7:$H$64,7,FALSE)*Q51)+(D51*R51)</f>
        <v>3666749.2721004682</v>
      </c>
      <c r="V51" s="76">
        <f>((((E51-1)*VLOOKUP(B51,'FTE Allotment Factor'!$B$7:$H$64,7,FALSE))+(K51*N51))*S51)+(T51*E51)</f>
        <v>1353064.5131374891</v>
      </c>
      <c r="W51" s="94">
        <f t="shared" si="9"/>
        <v>5019813.7852379568</v>
      </c>
      <c r="Y51" s="94">
        <f>F51*(VLOOKUP(A51, 'OE&amp;E by Cluster'!$B$6:$C$9,2,FALSE))</f>
        <v>2792391.8715029899</v>
      </c>
      <c r="AA51" s="267">
        <f>'AB1058'!E49</f>
        <v>515385.60000000009</v>
      </c>
      <c r="AB51" s="94">
        <f t="shared" si="10"/>
        <v>17175140.008784495</v>
      </c>
      <c r="AC51" s="95">
        <f t="shared" si="11"/>
        <v>6.410293904343849E-3</v>
      </c>
      <c r="AD51" s="57">
        <f t="shared" si="5"/>
        <v>107344.6250549031</v>
      </c>
    </row>
    <row r="52" spans="1:30" s="55" customFormat="1" ht="20.100000000000001" customHeight="1" x14ac:dyDescent="0.25">
      <c r="A52" s="68">
        <v>1</v>
      </c>
      <c r="B52" s="69" t="s">
        <v>17</v>
      </c>
      <c r="D52" s="70">
        <f>RAS!M52</f>
        <v>2</v>
      </c>
      <c r="E52" s="70">
        <f>RAS!Q52</f>
        <v>1</v>
      </c>
      <c r="F52" s="71">
        <f t="shared" si="8"/>
        <v>3</v>
      </c>
      <c r="H52" s="75">
        <f>(F52-1)*'AVG RAS salary'!$F$66</f>
        <v>139631.79198717439</v>
      </c>
      <c r="I52" s="75">
        <f>(F52-1)*(VLOOKUP(B52,'FTE Allotment Factor'!$B$6:$D$63,3))</f>
        <v>86845.312248145579</v>
      </c>
      <c r="J52" s="75">
        <f>(F52-1)*(VLOOKUP(B52,'FTE Allotment Factor'!$B$6:$H$63,7))</f>
        <v>105885.98467415867</v>
      </c>
      <c r="K52" s="267">
        <f>VLOOKUP(A52,'CEO Salary'!$G$7:$H$13,2)</f>
        <v>129946.26295999998</v>
      </c>
      <c r="L52" s="267">
        <f>IF(N52&lt;&gt;0,N52*K52,K52)</f>
        <v>80821.305962165221</v>
      </c>
      <c r="N52" s="89">
        <f>VLOOKUP(B52,BLS!$B$5:$I$64,8, FALSE)</f>
        <v>0.62195944786071777</v>
      </c>
      <c r="O52" s="94">
        <f t="shared" si="7"/>
        <v>186707.29063632389</v>
      </c>
      <c r="Q52" s="91">
        <f>VLOOKUP(B52,'Program 10'!$A$7:$G$64,6)</f>
        <v>2.6313478810798898E-2</v>
      </c>
      <c r="R52" s="9">
        <f>VLOOKUP(B52,'Program 10'!$A$7:$G$64,7)</f>
        <v>33598.706845212415</v>
      </c>
      <c r="S52" s="91">
        <f>VLOOKUP(B52,'Program 90'!$A$7:$G$64,6)</f>
        <v>2.113236157671352E-2</v>
      </c>
      <c r="T52" s="9">
        <f>VLOOKUP(B52,'Program 90'!$A$7:$G$64,7)</f>
        <v>49900.746890599992</v>
      </c>
      <c r="U52" s="76">
        <f>(D52*VLOOKUP(B52,'FTE Allotment Factor'!$B$7:$H$64,7,FALSE)*Q52)+(D52*R52)</f>
        <v>69983.642304508874</v>
      </c>
      <c r="V52" s="76">
        <f>((((E52-1)*VLOOKUP(B52,'FTE Allotment Factor'!$B$7:$H$64,7,FALSE))+(K52*N52))*S52)+(T52*E52)</f>
        <v>51608.691951294662</v>
      </c>
      <c r="W52" s="94">
        <f t="shared" si="9"/>
        <v>121592.33425580354</v>
      </c>
      <c r="Y52" s="94">
        <f>F52*(VLOOKUP(A52, 'OE&amp;E by Cluster'!$B$6:$C$9,2,FALSE))</f>
        <v>84400.550970515949</v>
      </c>
      <c r="AA52" s="267">
        <f>'AB1058'!E50</f>
        <v>0</v>
      </c>
      <c r="AB52" s="94">
        <f t="shared" si="10"/>
        <v>392700.17586264334</v>
      </c>
      <c r="AC52" s="95">
        <f t="shared" si="11"/>
        <v>1.4656786158829188E-4</v>
      </c>
      <c r="AD52" s="57">
        <f t="shared" si="5"/>
        <v>130900.05862088111</v>
      </c>
    </row>
    <row r="53" spans="1:30" s="55" customFormat="1" ht="20.100000000000001" customHeight="1" x14ac:dyDescent="0.25">
      <c r="A53" s="68">
        <v>2</v>
      </c>
      <c r="B53" s="69" t="s">
        <v>35</v>
      </c>
      <c r="D53" s="70">
        <f>RAS!M53</f>
        <v>32</v>
      </c>
      <c r="E53" s="70">
        <f>RAS!Q53</f>
        <v>7</v>
      </c>
      <c r="F53" s="71">
        <f t="shared" si="8"/>
        <v>39</v>
      </c>
      <c r="H53" s="75">
        <f>(F53-1)*'AVG RAS salary'!$F$66</f>
        <v>2653004.0477563133</v>
      </c>
      <c r="I53" s="75">
        <f>(F53-1)*(VLOOKUP(B53,'FTE Allotment Factor'!$B$6:$D$63,3))</f>
        <v>1820526.8592123091</v>
      </c>
      <c r="J53" s="75">
        <f>(F53-1)*(VLOOKUP(B53,'FTE Allotment Factor'!$B$6:$H$63,7))</f>
        <v>2011833.7088090146</v>
      </c>
      <c r="K53" s="267">
        <f>VLOOKUP(A53,'CEO Salary'!$G$7:$H$13,2)</f>
        <v>196515.16763636365</v>
      </c>
      <c r="L53" s="267">
        <f>IF(N53&lt;&gt;0,N53*K53,K53)</f>
        <v>134851.33625301989</v>
      </c>
      <c r="N53" s="89">
        <f>VLOOKUP(B53,BLS!$B$5:$I$64,8, FALSE)</f>
        <v>0.68621337413787842</v>
      </c>
      <c r="O53" s="94">
        <f t="shared" si="7"/>
        <v>2146685.0450620344</v>
      </c>
      <c r="Q53" s="91">
        <f>VLOOKUP(B53,'Program 10'!$A$7:$G$64,6)</f>
        <v>3.0373463389155832E-2</v>
      </c>
      <c r="R53" s="9">
        <f>VLOOKUP(B53,'Program 10'!$A$7:$G$64,7)</f>
        <v>47977.864415286371</v>
      </c>
      <c r="S53" s="91">
        <f>VLOOKUP(B53,'Program 90'!$A$7:$G$64,6)</f>
        <v>3.7895212906569858E-2</v>
      </c>
      <c r="T53" s="9">
        <f>VLOOKUP(B53,'Program 90'!$A$7:$G$64,7)</f>
        <v>53823.951565090916</v>
      </c>
      <c r="U53" s="76">
        <f>(D53*VLOOKUP(B53,'FTE Allotment Factor'!$B$7:$H$64,7,FALSE)*Q53)+(D53*R53)</f>
        <v>1586749.6465519683</v>
      </c>
      <c r="V53" s="76">
        <f>((((E53-1)*VLOOKUP(B53,'FTE Allotment Factor'!$B$7:$H$64,7,FALSE))+(K53*N53))*S53)+(T53*E53)</f>
        <v>393915.59685282718</v>
      </c>
      <c r="W53" s="94">
        <f t="shared" si="9"/>
        <v>1980665.2434047954</v>
      </c>
      <c r="Y53" s="94">
        <f>F53*(VLOOKUP(A53, 'OE&amp;E by Cluster'!$B$6:$C$9,2,FALSE))</f>
        <v>680645.51867885375</v>
      </c>
      <c r="AA53" s="267">
        <f>'AB1058'!E51</f>
        <v>156421.45000000001</v>
      </c>
      <c r="AB53" s="94">
        <f t="shared" si="10"/>
        <v>4651574.3571456829</v>
      </c>
      <c r="AC53" s="95">
        <f t="shared" si="11"/>
        <v>1.7361115386519276E-3</v>
      </c>
      <c r="AD53" s="57">
        <f t="shared" si="5"/>
        <v>119271.13736270982</v>
      </c>
    </row>
    <row r="54" spans="1:30" s="55" customFormat="1" ht="20.100000000000001" customHeight="1" x14ac:dyDescent="0.25">
      <c r="A54" s="68">
        <v>3</v>
      </c>
      <c r="B54" s="69" t="s">
        <v>48</v>
      </c>
      <c r="D54" s="70">
        <f>RAS!M54</f>
        <v>177</v>
      </c>
      <c r="E54" s="70">
        <f>RAS!Q54</f>
        <v>26</v>
      </c>
      <c r="F54" s="71">
        <f t="shared" si="8"/>
        <v>203</v>
      </c>
      <c r="H54" s="75">
        <f>(F54-1)*'AVG RAS salary'!$F$66</f>
        <v>14102810.990704615</v>
      </c>
      <c r="I54" s="75">
        <f>(F54-1)*(VLOOKUP(B54,'FTE Allotment Factor'!$B$6:$D$63,3))</f>
        <v>17000136.817681212</v>
      </c>
      <c r="J54" s="75">
        <f>(F54-1)*(VLOOKUP(B54,'FTE Allotment Factor'!$B$6:$H$63,7))</f>
        <v>17000136.817681212</v>
      </c>
      <c r="K54" s="267">
        <f>VLOOKUP(A54,'CEO Salary'!$G$7:$H$13,2)</f>
        <v>215703.69717692307</v>
      </c>
      <c r="L54" s="267">
        <f t="shared" ref="L54:L58" si="12">IF(N54&lt;&gt;0,N54*K54,K54)</f>
        <v>260018.5428638547</v>
      </c>
      <c r="N54" s="89">
        <f>VLOOKUP(B54,BLS!$B$5:$I$64,8, FALSE)</f>
        <v>1.2054431438446045</v>
      </c>
      <c r="O54" s="94">
        <f t="shared" si="7"/>
        <v>17260155.360545065</v>
      </c>
      <c r="Q54" s="91">
        <f>VLOOKUP(B54,'Program 10'!$A$7:$G$64,6)</f>
        <v>3.1329663064726357E-2</v>
      </c>
      <c r="R54" s="9">
        <f>VLOOKUP(B54,'Program 10'!$A$7:$G$64,7)</f>
        <v>49707.580675792022</v>
      </c>
      <c r="S54" s="91">
        <f>VLOOKUP(B54,'Program 90'!$A$7:$G$64,6)</f>
        <v>2.7838206458584286E-2</v>
      </c>
      <c r="T54" s="9">
        <f>VLOOKUP(B54,'Program 90'!$A$7:$G$64,7)</f>
        <v>61963.91453609048</v>
      </c>
      <c r="U54" s="76">
        <f>(D54*VLOOKUP(B54,'FTE Allotment Factor'!$B$7:$H$64,7,FALSE)*Q54)+(D54*R54)</f>
        <v>9264933.4373564739</v>
      </c>
      <c r="V54" s="76">
        <f>((((E54-1)*VLOOKUP(B54,'FTE Allotment Factor'!$B$7:$H$64,7,FALSE))+(K54*N54))*S54)+(T54*E54)</f>
        <v>1676871.1830843384</v>
      </c>
      <c r="W54" s="94">
        <f t="shared" si="9"/>
        <v>10941804.620440813</v>
      </c>
      <c r="Y54" s="94">
        <f>F54*(VLOOKUP(A54, 'OE&amp;E by Cluster'!$B$6:$C$9,2,FALSE))</f>
        <v>3542847.1869694181</v>
      </c>
      <c r="AA54" s="267">
        <f>'AB1058'!E52</f>
        <v>602093.98</v>
      </c>
      <c r="AB54" s="94">
        <f t="shared" si="10"/>
        <v>31142713.187955298</v>
      </c>
      <c r="AC54" s="95">
        <f t="shared" si="11"/>
        <v>1.1623424578278415E-2</v>
      </c>
      <c r="AD54" s="57">
        <f t="shared" si="5"/>
        <v>153412.380236233</v>
      </c>
    </row>
    <row r="55" spans="1:30" s="55" customFormat="1" ht="20.100000000000001" customHeight="1" x14ac:dyDescent="0.25">
      <c r="A55" s="68">
        <v>3</v>
      </c>
      <c r="B55" s="69" t="s">
        <v>49</v>
      </c>
      <c r="D55" s="70">
        <f>RAS!M55</f>
        <v>181</v>
      </c>
      <c r="E55" s="70">
        <f>RAS!Q55</f>
        <v>27</v>
      </c>
      <c r="F55" s="71">
        <f t="shared" si="8"/>
        <v>208</v>
      </c>
      <c r="H55" s="75">
        <f>(F55-1)*'AVG RAS salary'!$F$66</f>
        <v>14451890.47067255</v>
      </c>
      <c r="I55" s="75">
        <f>(F55-1)*(VLOOKUP(B55,'FTE Allotment Factor'!$B$6:$D$63,3))</f>
        <v>17373253.804655105</v>
      </c>
      <c r="J55" s="75">
        <f>(F55-1)*(VLOOKUP(B55,'FTE Allotment Factor'!$B$6:$H$63,7))</f>
        <v>17373253.804655105</v>
      </c>
      <c r="K55" s="267">
        <f>VLOOKUP(A55,'CEO Salary'!$G$7:$H$13,2)</f>
        <v>215703.69717692307</v>
      </c>
      <c r="L55" s="267">
        <f t="shared" si="12"/>
        <v>259306.91111048494</v>
      </c>
      <c r="N55" s="89">
        <f>VLOOKUP(B55,BLS!$B$5:$I$64,8, FALSE)</f>
        <v>1.2021440267562866</v>
      </c>
      <c r="O55" s="94">
        <f t="shared" si="7"/>
        <v>17632560.715765588</v>
      </c>
      <c r="Q55" s="91">
        <f>VLOOKUP(B55,'Program 10'!$A$7:$G$64,6)</f>
        <v>1.6485927964454927E-2</v>
      </c>
      <c r="R55" s="9">
        <f>VLOOKUP(B55,'Program 10'!$A$7:$G$64,7)</f>
        <v>56660.044212502769</v>
      </c>
      <c r="S55" s="91">
        <f>VLOOKUP(B55,'Program 90'!$A$7:$G$64,6)</f>
        <v>1.8400285804980567E-2</v>
      </c>
      <c r="T55" s="9">
        <f>VLOOKUP(B55,'Program 90'!$A$7:$G$64,7)</f>
        <v>65762.967619050018</v>
      </c>
      <c r="U55" s="76">
        <f>(D55*VLOOKUP(B55,'FTE Allotment Factor'!$B$7:$H$64,7,FALSE)*Q55)+(D55*R55)</f>
        <v>10505907.481412008</v>
      </c>
      <c r="V55" s="76">
        <f>((((E55-1)*VLOOKUP(B55,'FTE Allotment Factor'!$B$7:$H$64,7,FALSE))+(K55*N55))*S55)+(T55*E55)</f>
        <v>1820523.5905627974</v>
      </c>
      <c r="W55" s="94">
        <f t="shared" si="9"/>
        <v>12326431.071974806</v>
      </c>
      <c r="Y55" s="94">
        <f>F55*(VLOOKUP(A55, 'OE&amp;E by Cluster'!$B$6:$C$9,2,FALSE))</f>
        <v>3630109.4329538867</v>
      </c>
      <c r="AA55" s="267">
        <f>'AB1058'!E53</f>
        <v>636824.22999999986</v>
      </c>
      <c r="AB55" s="94">
        <f t="shared" si="10"/>
        <v>32952276.990694281</v>
      </c>
      <c r="AC55" s="95">
        <f t="shared" si="11"/>
        <v>1.229880980415058E-2</v>
      </c>
      <c r="AD55" s="57">
        <f t="shared" si="5"/>
        <v>158424.40860910711</v>
      </c>
    </row>
    <row r="56" spans="1:30" s="55" customFormat="1" ht="20.100000000000001" customHeight="1" x14ac:dyDescent="0.25">
      <c r="A56" s="68">
        <v>3</v>
      </c>
      <c r="B56" s="69" t="s">
        <v>50</v>
      </c>
      <c r="D56" s="70">
        <f>RAS!M56</f>
        <v>231</v>
      </c>
      <c r="E56" s="70">
        <f>RAS!Q56</f>
        <v>34</v>
      </c>
      <c r="F56" s="71">
        <f t="shared" si="8"/>
        <v>265</v>
      </c>
      <c r="H56" s="75">
        <f>(F56-1)*'AVG RAS salary'!$F$66</f>
        <v>18431396.542307019</v>
      </c>
      <c r="I56" s="75">
        <f>(F56-1)*(VLOOKUP(B56,'FTE Allotment Factor'!$B$6:$D$63,3))</f>
        <v>18988752.073367406</v>
      </c>
      <c r="J56" s="75">
        <f>(F56-1)*(VLOOKUP(B56,'FTE Allotment Factor'!$B$6:$H$63,7))</f>
        <v>18988752.073367406</v>
      </c>
      <c r="K56" s="267">
        <f>VLOOKUP(A56,'CEO Salary'!$G$7:$H$13,2)</f>
        <v>215703.69717692307</v>
      </c>
      <c r="L56" s="267">
        <f t="shared" si="12"/>
        <v>222226.46111484681</v>
      </c>
      <c r="N56" s="89">
        <f>VLOOKUP(B56,BLS!$B$5:$I$64,8, FALSE)</f>
        <v>1.030239462852478</v>
      </c>
      <c r="O56" s="94">
        <f t="shared" si="7"/>
        <v>19210978.534482252</v>
      </c>
      <c r="Q56" s="91">
        <f>VLOOKUP(B56,'Program 10'!$A$7:$G$64,6)</f>
        <v>1.8436386896414369E-2</v>
      </c>
      <c r="R56" s="9">
        <f>VLOOKUP(B56,'Program 10'!$A$7:$G$64,7)</f>
        <v>39914.801463783326</v>
      </c>
      <c r="S56" s="91">
        <f>VLOOKUP(B56,'Program 90'!$A$7:$G$64,6)</f>
        <v>2.2424056917286248E-2</v>
      </c>
      <c r="T56" s="9">
        <f>VLOOKUP(B56,'Program 90'!$A$7:$G$64,7)</f>
        <v>51842.313347291652</v>
      </c>
      <c r="U56" s="76">
        <f>(D56*VLOOKUP(B56,'FTE Allotment Factor'!$B$7:$H$64,7,FALSE)*Q56)+(D56*R56)</f>
        <v>9526642.6205505542</v>
      </c>
      <c r="V56" s="76">
        <f>((((E56-1)*VLOOKUP(B56,'FTE Allotment Factor'!$B$7:$H$64,7,FALSE))+(K56*N56))*S56)+(T56*E56)</f>
        <v>1820847.4797806612</v>
      </c>
      <c r="W56" s="94">
        <f t="shared" si="9"/>
        <v>11347490.100331215</v>
      </c>
      <c r="Y56" s="94">
        <f>F56*(VLOOKUP(A56, 'OE&amp;E by Cluster'!$B$6:$C$9,2,FALSE))</f>
        <v>4624899.037176827</v>
      </c>
      <c r="AA56" s="267">
        <f>'AB1058'!E54</f>
        <v>1073808.56</v>
      </c>
      <c r="AB56" s="94">
        <f t="shared" si="10"/>
        <v>34109559.111990288</v>
      </c>
      <c r="AC56" s="95">
        <f t="shared" si="11"/>
        <v>1.2730743315257656E-2</v>
      </c>
      <c r="AD56" s="57">
        <f t="shared" si="5"/>
        <v>128715.31740373693</v>
      </c>
    </row>
    <row r="57" spans="1:30" s="55" customFormat="1" ht="20.100000000000001" customHeight="1" x14ac:dyDescent="0.25">
      <c r="A57" s="68">
        <v>2</v>
      </c>
      <c r="B57" s="69" t="s">
        <v>36</v>
      </c>
      <c r="D57" s="70">
        <f>RAS!M57</f>
        <v>56</v>
      </c>
      <c r="E57" s="70">
        <f>RAS!Q57</f>
        <v>12</v>
      </c>
      <c r="F57" s="71">
        <f t="shared" si="8"/>
        <v>68</v>
      </c>
      <c r="H57" s="75">
        <f>(F57-1)*'AVG RAS salary'!$F$66</f>
        <v>4677665.0315703424</v>
      </c>
      <c r="I57" s="75">
        <f>(F57-1)*(VLOOKUP(B57,'FTE Allotment Factor'!$B$6:$D$63,3))</f>
        <v>4509046.8159618638</v>
      </c>
      <c r="J57" s="75">
        <f>(F57-1)*(VLOOKUP(B57,'FTE Allotment Factor'!$B$6:$H$63,7))</f>
        <v>4509046.8159618638</v>
      </c>
      <c r="K57" s="267">
        <f>VLOOKUP(A57,'CEO Salary'!$G$7:$H$13,2)</f>
        <v>196515.16763636365</v>
      </c>
      <c r="L57" s="267">
        <f t="shared" si="12"/>
        <v>189431.28354393633</v>
      </c>
      <c r="N57" s="89">
        <f>VLOOKUP(B57,BLS!$B$5:$I$64,8, FALSE)</f>
        <v>0.96395248174667358</v>
      </c>
      <c r="O57" s="94">
        <f t="shared" si="7"/>
        <v>4698478.0995057998</v>
      </c>
      <c r="Q57" s="91">
        <f>VLOOKUP(B57,'Program 10'!$A$7:$G$64,6)</f>
        <v>1.5891633408724983E-2</v>
      </c>
      <c r="R57" s="9">
        <f>VLOOKUP(B57,'Program 10'!$A$7:$G$64,7)</f>
        <v>42560.278752341364</v>
      </c>
      <c r="S57" s="91">
        <f>VLOOKUP(B57,'Program 90'!$A$7:$G$64,6)</f>
        <v>1.264898242844637E-2</v>
      </c>
      <c r="T57" s="9">
        <f>VLOOKUP(B57,'Program 90'!$A$7:$G$64,7)</f>
        <v>48046.844185363625</v>
      </c>
      <c r="U57" s="76">
        <f>(D57*VLOOKUP(B57,'FTE Allotment Factor'!$B$7:$H$64,7,FALSE)*Q57)+(D57*R57)</f>
        <v>2443267.2917017806</v>
      </c>
      <c r="V57" s="76">
        <f>((((E57-1)*VLOOKUP(B57,'FTE Allotment Factor'!$B$7:$H$64,7,FALSE))+(K57*N57))*S57)+(T57*E57)</f>
        <v>588322.17444586975</v>
      </c>
      <c r="W57" s="94">
        <f t="shared" si="9"/>
        <v>3031589.4661476505</v>
      </c>
      <c r="Y57" s="94">
        <f>F57*(VLOOKUP(A57, 'OE&amp;E by Cluster'!$B$6:$C$9,2,FALSE))</f>
        <v>1186766.5453887705</v>
      </c>
      <c r="AA57" s="267">
        <f>'AB1058'!E55</f>
        <v>226720.44999999998</v>
      </c>
      <c r="AB57" s="94">
        <f t="shared" si="10"/>
        <v>8690113.6610422228</v>
      </c>
      <c r="AC57" s="95">
        <f t="shared" si="11"/>
        <v>3.2434194190523262E-3</v>
      </c>
      <c r="AD57" s="57">
        <f t="shared" si="5"/>
        <v>127795.78913297386</v>
      </c>
    </row>
    <row r="58" spans="1:30" s="55" customFormat="1" ht="20.100000000000001" customHeight="1" x14ac:dyDescent="0.25">
      <c r="A58" s="68">
        <v>2</v>
      </c>
      <c r="B58" s="69" t="s">
        <v>37</v>
      </c>
      <c r="D58" s="70">
        <f>RAS!M58</f>
        <v>47</v>
      </c>
      <c r="E58" s="70">
        <f>RAS!Q58</f>
        <v>10</v>
      </c>
      <c r="F58" s="71">
        <f t="shared" si="8"/>
        <v>57</v>
      </c>
      <c r="H58" s="75">
        <f>(F58-1)*'AVG RAS salary'!$F$66</f>
        <v>3909690.1756408829</v>
      </c>
      <c r="I58" s="75">
        <f>(F58-1)*(VLOOKUP(B58,'FTE Allotment Factor'!$B$6:$D$63,3))</f>
        <v>3010343.6776465368</v>
      </c>
      <c r="J58" s="75">
        <f>(F58-1)*(VLOOKUP(B58,'FTE Allotment Factor'!$B$6:$H$63,7))</f>
        <v>3010343.6776465368</v>
      </c>
      <c r="K58" s="267">
        <f>VLOOKUP(A58,'CEO Salary'!$G$7:$H$13,2)</f>
        <v>196515.16763636365</v>
      </c>
      <c r="L58" s="267">
        <f t="shared" si="12"/>
        <v>151310.76015730688</v>
      </c>
      <c r="N58" s="89">
        <f>VLOOKUP(B58,BLS!$B$5:$I$64,8, FALSE)</f>
        <v>0.7699698805809021</v>
      </c>
      <c r="O58" s="94">
        <f t="shared" si="7"/>
        <v>3161654.4378038435</v>
      </c>
      <c r="Q58" s="91">
        <f>VLOOKUP(B58,'Program 10'!$A$7:$G$64,6)</f>
        <v>2.1590057650336975E-2</v>
      </c>
      <c r="R58" s="9">
        <f>VLOOKUP(B58,'Program 10'!$A$7:$G$64,7)</f>
        <v>38604.977468930636</v>
      </c>
      <c r="S58" s="91">
        <f>VLOOKUP(B58,'Program 90'!$A$7:$G$64,6)</f>
        <v>1.4129333992347412E-2</v>
      </c>
      <c r="T58" s="9">
        <f>VLOOKUP(B58,'Program 90'!$A$7:$G$64,7)</f>
        <v>48469.011555488716</v>
      </c>
      <c r="U58" s="76">
        <f>(D58*VLOOKUP(B58,'FTE Allotment Factor'!$B$7:$H$64,7,FALSE)*Q58)+(D58*R58)</f>
        <v>1868982.0516958588</v>
      </c>
      <c r="V58" s="76">
        <f>((((E58-1)*VLOOKUP(B58,'FTE Allotment Factor'!$B$7:$H$64,7,FALSE))+(K58*N58))*S58)+(T58*E58)</f>
        <v>493663.88155891025</v>
      </c>
      <c r="W58" s="94">
        <f t="shared" si="9"/>
        <v>2362645.9332547691</v>
      </c>
      <c r="Y58" s="94">
        <f>F58*(VLOOKUP(A58, 'OE&amp;E by Cluster'!$B$6:$C$9,2,FALSE))</f>
        <v>994789.60422294005</v>
      </c>
      <c r="AA58" s="267">
        <f>'AB1058'!E56</f>
        <v>156441.85</v>
      </c>
      <c r="AB58" s="94">
        <f t="shared" si="10"/>
        <v>6362648.1252815537</v>
      </c>
      <c r="AC58" s="95">
        <f t="shared" si="11"/>
        <v>2.3747372348706499E-3</v>
      </c>
      <c r="AD58" s="57">
        <f t="shared" si="5"/>
        <v>111625.40570669393</v>
      </c>
    </row>
    <row r="59" spans="1:30" s="55" customFormat="1" ht="20.100000000000001" customHeight="1" x14ac:dyDescent="0.25">
      <c r="A59" s="68">
        <v>1</v>
      </c>
      <c r="B59" s="69" t="s">
        <v>18</v>
      </c>
      <c r="D59" s="70">
        <f>RAS!M59</f>
        <v>11</v>
      </c>
      <c r="E59" s="70">
        <f>RAS!Q59</f>
        <v>5</v>
      </c>
      <c r="F59" s="71">
        <f t="shared" si="8"/>
        <v>16</v>
      </c>
      <c r="H59" s="75">
        <f>(F59-1)*'AVG RAS salary'!$F$66</f>
        <v>1047238.4399038079</v>
      </c>
      <c r="I59" s="75">
        <f>(F59-1)*(VLOOKUP(B59,'FTE Allotment Factor'!$B$6:$D$63,3))</f>
        <v>723051.00050939503</v>
      </c>
      <c r="J59" s="75">
        <f>(F59-1)*(VLOOKUP(B59,'FTE Allotment Factor'!$B$6:$H$63,7))</f>
        <v>794144.88505618996</v>
      </c>
      <c r="K59" s="267">
        <f>VLOOKUP(A59,'CEO Salary'!$G$7:$H$13,2)</f>
        <v>129946.26295999998</v>
      </c>
      <c r="L59" s="267">
        <f>IF(N59&lt;&gt;0,N59*K59,K59)</f>
        <v>89719.563248953345</v>
      </c>
      <c r="N59" s="89">
        <f>VLOOKUP(B59,BLS!$B$5:$I$64,8, FALSE)</f>
        <v>0.69043588638305664</v>
      </c>
      <c r="O59" s="94">
        <f t="shared" si="7"/>
        <v>883864.44830514328</v>
      </c>
      <c r="Q59" s="91">
        <f>VLOOKUP(B59,'Program 10'!$A$7:$G$64,6)</f>
        <v>2.7205751522279553E-2</v>
      </c>
      <c r="R59" s="9">
        <f>VLOOKUP(B59,'Program 10'!$A$7:$G$64,7)</f>
        <v>34364.618172971474</v>
      </c>
      <c r="S59" s="91">
        <f>VLOOKUP(B59,'Program 90'!$A$7:$G$64,6)</f>
        <v>2.00135592653677E-2</v>
      </c>
      <c r="T59" s="9">
        <f>VLOOKUP(B59,'Program 90'!$A$7:$G$64,7)</f>
        <v>38584.226412846154</v>
      </c>
      <c r="U59" s="76">
        <f>(D59*VLOOKUP(B59,'FTE Allotment Factor'!$B$7:$H$64,7,FALSE)*Q59)+(D59*R59)</f>
        <v>393854.69274074002</v>
      </c>
      <c r="V59" s="76">
        <f>((((E59-1)*VLOOKUP(B59,'FTE Allotment Factor'!$B$7:$H$64,7,FALSE))+(K59*N59))*S59)+(T59*E59)</f>
        <v>198955.05071987279</v>
      </c>
      <c r="W59" s="94">
        <f t="shared" si="9"/>
        <v>592809.74346061284</v>
      </c>
      <c r="Y59" s="94">
        <f>F59*(VLOOKUP(A59, 'OE&amp;E by Cluster'!$B$6:$C$9,2,FALSE))</f>
        <v>450136.27184275171</v>
      </c>
      <c r="AA59" s="267">
        <f>'AB1058'!E57</f>
        <v>0</v>
      </c>
      <c r="AB59" s="94">
        <f t="shared" si="10"/>
        <v>1926810.4636085078</v>
      </c>
      <c r="AC59" s="95">
        <f t="shared" si="11"/>
        <v>7.1914530905589332E-4</v>
      </c>
      <c r="AD59" s="57">
        <f t="shared" si="5"/>
        <v>120425.65397553174</v>
      </c>
    </row>
    <row r="60" spans="1:30" s="55" customFormat="1" ht="20.100000000000001" customHeight="1" x14ac:dyDescent="0.25">
      <c r="A60" s="68">
        <v>3</v>
      </c>
      <c r="B60" s="69" t="s">
        <v>51</v>
      </c>
      <c r="D60" s="70">
        <f>RAS!M60</f>
        <v>229</v>
      </c>
      <c r="E60" s="70">
        <f>RAS!Q60</f>
        <v>35</v>
      </c>
      <c r="F60" s="71">
        <f t="shared" si="8"/>
        <v>264</v>
      </c>
      <c r="H60" s="75">
        <f>(F60-1)*'AVG RAS salary'!$F$66</f>
        <v>18361580.646313433</v>
      </c>
      <c r="I60" s="75">
        <f>(F60-1)*(VLOOKUP(B60,'FTE Allotment Factor'!$B$6:$D$63,3))</f>
        <v>17464951.236317158</v>
      </c>
      <c r="J60" s="75">
        <f>(F60-1)*(VLOOKUP(B60,'FTE Allotment Factor'!$B$6:$H$63,7))</f>
        <v>17464951.236317158</v>
      </c>
      <c r="K60" s="267">
        <f>VLOOKUP(A60,'CEO Salary'!$G$7:$H$13,2)</f>
        <v>215703.69717692307</v>
      </c>
      <c r="L60" s="267">
        <f t="shared" ref="L60:L64" si="13">IF(N60&lt;&gt;0,N60*K60,K60)</f>
        <v>205170.4929577868</v>
      </c>
      <c r="N60" s="89">
        <f>VLOOKUP(B60,BLS!$B$5:$I$64,8, FALSE)</f>
        <v>0.95116817951202393</v>
      </c>
      <c r="O60" s="94">
        <f t="shared" si="7"/>
        <v>17670121.729274943</v>
      </c>
      <c r="Q60" s="91">
        <f>VLOOKUP(B60,'Program 10'!$A$7:$G$64,6)</f>
        <v>1.4279256205269155E-3</v>
      </c>
      <c r="R60" s="9">
        <f>VLOOKUP(B60,'Program 10'!$A$7:$G$64,7)</f>
        <v>45926.036927028588</v>
      </c>
      <c r="S60" s="91">
        <f>VLOOKUP(B60,'Program 90'!$A$7:$G$64,6)</f>
        <v>9.6666825889762074E-4</v>
      </c>
      <c r="T60" s="9">
        <f>VLOOKUP(B60,'Program 90'!$A$7:$G$64,7)</f>
        <v>57684.46824189787</v>
      </c>
      <c r="U60" s="76">
        <f>(D60*VLOOKUP(B60,'FTE Allotment Factor'!$B$7:$H$64,7,FALSE)*Q60)+(D60*R60)</f>
        <v>10538777.099464202</v>
      </c>
      <c r="V60" s="76">
        <f>((((E60-1)*VLOOKUP(B60,'FTE Allotment Factor'!$B$7:$H$64,7,FALSE))+(K60*N60))*S60)+(T60*E60)</f>
        <v>2021337.2893803285</v>
      </c>
      <c r="W60" s="94">
        <f t="shared" si="9"/>
        <v>12560114.388844531</v>
      </c>
      <c r="Y60" s="94">
        <f>F60*(VLOOKUP(A60, 'OE&amp;E by Cluster'!$B$6:$C$9,2,FALSE))</f>
        <v>4607446.5879799332</v>
      </c>
      <c r="AA60" s="267">
        <f>'AB1058'!E58</f>
        <v>854024.87999999989</v>
      </c>
      <c r="AB60" s="94">
        <f t="shared" si="10"/>
        <v>33983657.826099403</v>
      </c>
      <c r="AC60" s="95">
        <f t="shared" si="11"/>
        <v>1.2683753058113749E-2</v>
      </c>
      <c r="AD60" s="57">
        <f t="shared" si="5"/>
        <v>128725.97661401289</v>
      </c>
    </row>
    <row r="61" spans="1:30" s="55" customFormat="1" ht="20.100000000000001" customHeight="1" x14ac:dyDescent="0.25">
      <c r="A61" s="68">
        <v>2</v>
      </c>
      <c r="B61" s="69" t="s">
        <v>38</v>
      </c>
      <c r="D61" s="70">
        <f>RAS!M61</f>
        <v>37</v>
      </c>
      <c r="E61" s="70">
        <f>RAS!Q61</f>
        <v>8</v>
      </c>
      <c r="F61" s="71">
        <f t="shared" si="8"/>
        <v>45</v>
      </c>
      <c r="H61" s="75">
        <f>(F61-1)*'AVG RAS salary'!$F$66</f>
        <v>3071899.4237178368</v>
      </c>
      <c r="I61" s="75">
        <f>(F61-1)*(VLOOKUP(B61,'FTE Allotment Factor'!$B$6:$D$63,3))</f>
        <v>2481777.1431996841</v>
      </c>
      <c r="J61" s="75">
        <f>(F61-1)*(VLOOKUP(B61,'FTE Allotment Factor'!$B$6:$H$63,7))</f>
        <v>2481777.1431996841</v>
      </c>
      <c r="K61" s="267">
        <f>VLOOKUP(A61,'CEO Salary'!$G$7:$H$13,2)</f>
        <v>196515.16763636365</v>
      </c>
      <c r="L61" s="267">
        <f t="shared" si="13"/>
        <v>158763.93854774165</v>
      </c>
      <c r="N61" s="89">
        <f>VLOOKUP(B61,BLS!$B$5:$I$64,8, FALSE)</f>
        <v>0.80789661407470703</v>
      </c>
      <c r="O61" s="94">
        <f t="shared" si="7"/>
        <v>2640541.0817474257</v>
      </c>
      <c r="Q61" s="91">
        <f>VLOOKUP(B61,'Program 10'!$A$7:$G$64,6)</f>
        <v>3.2460700754256652E-2</v>
      </c>
      <c r="R61" s="9">
        <f>VLOOKUP(B61,'Program 10'!$A$7:$G$64,7)</f>
        <v>38484.973319195051</v>
      </c>
      <c r="S61" s="91">
        <f>VLOOKUP(B61,'Program 90'!$A$7:$G$64,6)</f>
        <v>2.7300225165729525E-2</v>
      </c>
      <c r="T61" s="9">
        <f>VLOOKUP(B61,'Program 90'!$A$7:$G$64,7)</f>
        <v>47723.640320000006</v>
      </c>
      <c r="U61" s="76">
        <f>(D61*VLOOKUP(B61,'FTE Allotment Factor'!$B$7:$H$64,7,FALSE)*Q61)+(D61*R61)</f>
        <v>1491687.8385332597</v>
      </c>
      <c r="V61" s="76">
        <f>((((E61-1)*VLOOKUP(B61,'FTE Allotment Factor'!$B$7:$H$64,7,FALSE))+(K61*N61))*S61)+(T61*E61)</f>
        <v>396902.31209745113</v>
      </c>
      <c r="W61" s="94">
        <f t="shared" si="9"/>
        <v>1888590.1506307109</v>
      </c>
      <c r="Y61" s="94">
        <f>F61*(VLOOKUP(A61, 'OE&amp;E by Cluster'!$B$6:$C$9,2,FALSE))</f>
        <v>785360.21386021585</v>
      </c>
      <c r="AA61" s="267">
        <f>'AB1058'!E59</f>
        <v>249188.05000000002</v>
      </c>
      <c r="AB61" s="94">
        <f t="shared" si="10"/>
        <v>5065303.3962383522</v>
      </c>
      <c r="AC61" s="95">
        <f t="shared" si="11"/>
        <v>1.8905280229419715E-3</v>
      </c>
      <c r="AD61" s="57">
        <f t="shared" si="5"/>
        <v>112562.2976941856</v>
      </c>
    </row>
    <row r="62" spans="1:30" s="55" customFormat="1" ht="20.100000000000001" customHeight="1" x14ac:dyDescent="0.25">
      <c r="A62" s="68">
        <v>3</v>
      </c>
      <c r="B62" s="69" t="s">
        <v>52</v>
      </c>
      <c r="D62" s="70">
        <f>RAS!M62</f>
        <v>283</v>
      </c>
      <c r="E62" s="70">
        <f>RAS!Q62</f>
        <v>49</v>
      </c>
      <c r="F62" s="71">
        <f t="shared" si="8"/>
        <v>332</v>
      </c>
      <c r="H62" s="75">
        <f>(F62-1)*'AVG RAS salary'!$F$66</f>
        <v>23109061.573877361</v>
      </c>
      <c r="I62" s="75">
        <f>(F62-1)*(VLOOKUP(B62,'FTE Allotment Factor'!$B$6:$D$63,3))</f>
        <v>28971172.50875403</v>
      </c>
      <c r="J62" s="75">
        <f>(F62-1)*(VLOOKUP(B62,'FTE Allotment Factor'!$B$6:$H$63,7))</f>
        <v>28971172.50875403</v>
      </c>
      <c r="K62" s="267">
        <f>VLOOKUP(A62,'CEO Salary'!$G$7:$H$13,2)</f>
        <v>215703.69717692307</v>
      </c>
      <c r="L62" s="267">
        <f t="shared" si="13"/>
        <v>270421.58339968265</v>
      </c>
      <c r="N62" s="89">
        <f>VLOOKUP(B62,BLS!$B$5:$I$64,8, FALSE)</f>
        <v>1.2536715269088745</v>
      </c>
      <c r="O62" s="94">
        <f t="shared" si="7"/>
        <v>29241594.092153713</v>
      </c>
      <c r="Q62" s="91">
        <f>VLOOKUP(B62,'Program 10'!$A$7:$G$64,6)</f>
        <v>2.7686156227032725E-3</v>
      </c>
      <c r="R62" s="9">
        <f>VLOOKUP(B62,'Program 10'!$A$7:$G$64,7)</f>
        <v>37815.445632661475</v>
      </c>
      <c r="S62" s="91">
        <f>VLOOKUP(B62,'Program 90'!$A$7:$G$64,6)</f>
        <v>7.583138828904816E-3</v>
      </c>
      <c r="T62" s="9">
        <f>VLOOKUP(B62,'Program 90'!$A$7:$G$64,7)</f>
        <v>52550.151487128751</v>
      </c>
      <c r="U62" s="76">
        <f>(D62*VLOOKUP(B62,'FTE Allotment Factor'!$B$7:$H$64,7,FALSE)*Q62)+(D62*R62)</f>
        <v>10770349.487308642</v>
      </c>
      <c r="V62" s="76">
        <f>((((E62-1)*VLOOKUP(B62,'FTE Allotment Factor'!$B$7:$H$64,7,FALSE))+(K62*N62))*S62)+(T62*E62)</f>
        <v>2608866.7872548797</v>
      </c>
      <c r="W62" s="94">
        <f t="shared" si="9"/>
        <v>13379216.274563521</v>
      </c>
      <c r="Y62" s="94">
        <f>F62*(VLOOKUP(A62, 'OE&amp;E by Cluster'!$B$6:$C$9,2,FALSE))</f>
        <v>5794213.1333687035</v>
      </c>
      <c r="AA62" s="267">
        <f>'AB1058'!E60</f>
        <v>715021.56</v>
      </c>
      <c r="AB62" s="94">
        <f t="shared" si="10"/>
        <v>47700001.940085933</v>
      </c>
      <c r="AC62" s="95">
        <f t="shared" si="11"/>
        <v>1.7803117268175468E-2</v>
      </c>
      <c r="AD62" s="57">
        <f t="shared" si="5"/>
        <v>143674.70463881304</v>
      </c>
    </row>
    <row r="63" spans="1:30" s="55" customFormat="1" ht="20.100000000000001" customHeight="1" x14ac:dyDescent="0.25">
      <c r="A63" s="68">
        <v>2</v>
      </c>
      <c r="B63" s="69" t="s">
        <v>39</v>
      </c>
      <c r="D63" s="70">
        <f>RAS!M63</f>
        <v>95</v>
      </c>
      <c r="E63" s="70">
        <f>RAS!Q63</f>
        <v>20</v>
      </c>
      <c r="F63" s="71">
        <f t="shared" si="8"/>
        <v>115</v>
      </c>
      <c r="H63" s="75">
        <f>(F63-1)*'AVG RAS salary'!$F$66</f>
        <v>7959012.14326894</v>
      </c>
      <c r="I63" s="75">
        <f>(F63-1)*(VLOOKUP(B63,'FTE Allotment Factor'!$B$6:$D$63,3))</f>
        <v>8780723.4322990254</v>
      </c>
      <c r="J63" s="75">
        <f>(F63-1)*(VLOOKUP(B63,'FTE Allotment Factor'!$B$6:$H$63,7))</f>
        <v>8780723.4322990254</v>
      </c>
      <c r="K63" s="267">
        <f>VLOOKUP(A63,'CEO Salary'!$G$7:$H$13,2)</f>
        <v>196515.16763636365</v>
      </c>
      <c r="L63" s="267">
        <f t="shared" si="13"/>
        <v>216803.9583563281</v>
      </c>
      <c r="N63" s="89">
        <f>VLOOKUP(B63,BLS!$B$5:$I$64,8, FALSE)</f>
        <v>1.1032428741455078</v>
      </c>
      <c r="O63" s="94">
        <f t="shared" si="7"/>
        <v>8997527.3906553537</v>
      </c>
      <c r="Q63" s="91">
        <f>VLOOKUP(B63,'Program 10'!$A$7:$G$64,6)</f>
        <v>4.6648307881476885E-2</v>
      </c>
      <c r="R63" s="9">
        <f>VLOOKUP(B63,'Program 10'!$A$7:$G$64,7)</f>
        <v>44163.170866077911</v>
      </c>
      <c r="S63" s="91">
        <f>VLOOKUP(B63,'Program 90'!$A$7:$G$64,6)</f>
        <v>4.0946543001126157E-2</v>
      </c>
      <c r="T63" s="9">
        <f>VLOOKUP(B63,'Program 90'!$A$7:$G$64,7)</f>
        <v>62706.23059428572</v>
      </c>
      <c r="U63" s="76">
        <f>(D63*VLOOKUP(B63,'FTE Allotment Factor'!$B$7:$H$64,7,FALSE)*Q63)+(D63*R63)</f>
        <v>4536839.4740207214</v>
      </c>
      <c r="V63" s="76">
        <f>((((E63-1)*VLOOKUP(B63,'FTE Allotment Factor'!$B$7:$H$64,7,FALSE))+(K63*N63))*S63)+(T63*E63)</f>
        <v>1322925.3627563042</v>
      </c>
      <c r="W63" s="94">
        <f t="shared" si="9"/>
        <v>5859764.8367770258</v>
      </c>
      <c r="Y63" s="94">
        <f>F63*(VLOOKUP(A63, 'OE&amp;E by Cluster'!$B$6:$C$9,2,FALSE))</f>
        <v>2007031.6576427738</v>
      </c>
      <c r="AA63" s="267">
        <f>'AB1058'!E61</f>
        <v>228771.3</v>
      </c>
      <c r="AB63" s="94">
        <f t="shared" si="10"/>
        <v>16635552.585075151</v>
      </c>
      <c r="AC63" s="95">
        <f t="shared" si="11"/>
        <v>6.2089031749934338E-3</v>
      </c>
      <c r="AD63" s="57">
        <f t="shared" si="5"/>
        <v>144656.97900065349</v>
      </c>
    </row>
    <row r="64" spans="1:30" s="55" customFormat="1" ht="20.100000000000001" customHeight="1" x14ac:dyDescent="0.25">
      <c r="A64" s="68">
        <v>2</v>
      </c>
      <c r="B64" s="69" t="s">
        <v>40</v>
      </c>
      <c r="D64" s="70">
        <f>RAS!M64</f>
        <v>43</v>
      </c>
      <c r="E64" s="70">
        <f>RAS!Q64</f>
        <v>9</v>
      </c>
      <c r="F64" s="71">
        <f t="shared" si="8"/>
        <v>52</v>
      </c>
      <c r="H64" s="75">
        <f>(F64-1)*'AVG RAS salary'!$F$66</f>
        <v>3560610.695672947</v>
      </c>
      <c r="I64" s="75">
        <f>(F64-1)*(VLOOKUP(B64,'FTE Allotment Factor'!$B$6:$D$63,3))</f>
        <v>3394814.26767082</v>
      </c>
      <c r="J64" s="75">
        <f>(F64-1)*(VLOOKUP(B64,'FTE Allotment Factor'!$B$6:$H$63,7))</f>
        <v>3394814.26767082</v>
      </c>
      <c r="K64" s="267">
        <f>VLOOKUP(A64,'CEO Salary'!$G$7:$H$13,2)</f>
        <v>196515.16763636365</v>
      </c>
      <c r="L64" s="267">
        <f t="shared" si="13"/>
        <v>187364.62700524571</v>
      </c>
      <c r="N64" s="89">
        <f>VLOOKUP(B64,BLS!$B$5:$I$64,8, FALSE)</f>
        <v>0.95343595743179321</v>
      </c>
      <c r="O64" s="94">
        <f>J64+L64</f>
        <v>3582178.8946760655</v>
      </c>
      <c r="Q64" s="91">
        <f>VLOOKUP(B64,'Program 10'!$A$7:$G$64,6)</f>
        <v>1.4796103243800129E-2</v>
      </c>
      <c r="R64" s="9">
        <f>VLOOKUP(B64,'Program 10'!$A$7:$G$64,7)</f>
        <v>18942.426237645959</v>
      </c>
      <c r="S64" s="91">
        <f>VLOOKUP(B64,'Program 90'!$A$7:$G$64,6)</f>
        <v>1.1249249118116186E-2</v>
      </c>
      <c r="T64" s="9">
        <f>VLOOKUP(B64,'Program 90'!$A$7:$G$64,7)</f>
        <v>25231.115295000003</v>
      </c>
      <c r="U64" s="76">
        <f>(D64*VLOOKUP(B64,'FTE Allotment Factor'!$B$7:$H$64,7,FALSE)*Q64)+(D64*R64)</f>
        <v>856875.13141707575</v>
      </c>
      <c r="V64" s="76">
        <f>((((E64-1)*VLOOKUP(B64,'FTE Allotment Factor'!$B$7:$H$64,7,FALSE))+(K64*N64))*S64)+(T64*E64)</f>
        <v>235178.19786822482</v>
      </c>
      <c r="W64" s="94">
        <f t="shared" si="9"/>
        <v>1092053.3292853006</v>
      </c>
      <c r="Y64" s="94">
        <f>F64*(VLOOKUP(A64, 'OE&amp;E by Cluster'!$B$6:$C$9,2,FALSE))</f>
        <v>907527.35823847167</v>
      </c>
      <c r="AA64" s="267">
        <f>'AB1058'!E62</f>
        <v>280194.90999999997</v>
      </c>
      <c r="AB64" s="94">
        <f t="shared" si="10"/>
        <v>5301564.6721998379</v>
      </c>
      <c r="AC64" s="95">
        <f t="shared" si="11"/>
        <v>1.9787080445519143E-3</v>
      </c>
      <c r="AD64" s="57">
        <f t="shared" si="5"/>
        <v>101953.16677307381</v>
      </c>
    </row>
    <row r="65" spans="1:30" s="55" customFormat="1" ht="20.100000000000001" customHeight="1" thickBot="1" x14ac:dyDescent="0.3">
      <c r="A65" s="51"/>
      <c r="B65" s="102" t="s">
        <v>62</v>
      </c>
      <c r="D65" s="72">
        <f>SUM(D7:D64)</f>
        <v>15178</v>
      </c>
      <c r="E65" s="72">
        <f>SUM(E7:E64)</f>
        <v>2502</v>
      </c>
      <c r="F65" s="72">
        <f>SUM(F7:F64)</f>
        <v>17680</v>
      </c>
      <c r="H65" s="103"/>
      <c r="I65" s="103"/>
      <c r="J65" s="103"/>
      <c r="K65" s="103"/>
      <c r="L65" s="81">
        <f>SUM(L7:L64)</f>
        <v>11773435.231577883</v>
      </c>
      <c r="N65" s="61"/>
      <c r="O65" s="81">
        <f>SUM(O7:O64)</f>
        <v>1515822073.1819656</v>
      </c>
      <c r="Q65" s="58"/>
      <c r="R65" s="58"/>
      <c r="S65" s="58"/>
      <c r="T65" s="58"/>
      <c r="U65" s="90">
        <f>SUM(U7:U64)</f>
        <v>753978188.59651351</v>
      </c>
      <c r="V65" s="90">
        <f>SUM(V7:V64)</f>
        <v>142190847.82551363</v>
      </c>
      <c r="W65" s="90">
        <f>SUM(W7:W64)</f>
        <v>896169036.42202675</v>
      </c>
      <c r="Y65" s="90">
        <f t="shared" ref="Y65" si="14">SUM(Y7:Y64)</f>
        <v>311582043.98657817</v>
      </c>
      <c r="AA65" s="90">
        <f>SUM(AA7:AA64)</f>
        <v>44266983.690000005</v>
      </c>
      <c r="AB65" s="90">
        <f>SUM(AB7:AB64)</f>
        <v>2679306169.9005709</v>
      </c>
      <c r="AC65" s="97">
        <f t="shared" ref="AC65" si="15">SUM(AC7:AC64)</f>
        <v>1.0000000000000002</v>
      </c>
      <c r="AD65" s="57"/>
    </row>
    <row r="66" spans="1:30" s="55" customFormat="1" thickTop="1" x14ac:dyDescent="0.25">
      <c r="A66" s="51"/>
      <c r="D66" s="56"/>
      <c r="E66" s="56"/>
      <c r="F66" s="56"/>
      <c r="H66" s="58"/>
      <c r="I66" s="58"/>
      <c r="J66" s="58"/>
      <c r="K66" s="57"/>
      <c r="L66" s="178"/>
      <c r="N66" s="57"/>
      <c r="O66" s="178"/>
      <c r="Q66" s="58"/>
      <c r="R66" s="58"/>
      <c r="S66" s="58"/>
      <c r="T66" s="58"/>
      <c r="U66" s="58"/>
      <c r="V66" s="58"/>
      <c r="W66" s="57"/>
      <c r="Y66" s="57"/>
      <c r="AA66" s="57"/>
      <c r="AB66" s="179"/>
      <c r="AC66" s="62"/>
      <c r="AD66" s="57"/>
    </row>
    <row r="67" spans="1:30" s="55" customFormat="1" ht="20.100000000000001" customHeight="1" x14ac:dyDescent="0.25">
      <c r="B67" s="63" t="s">
        <v>222</v>
      </c>
      <c r="C67" s="63"/>
      <c r="D67" s="63"/>
      <c r="E67" s="63"/>
      <c r="F67" s="63"/>
      <c r="G67" s="63"/>
      <c r="H67" s="63"/>
      <c r="I67" s="63"/>
      <c r="J67" s="63"/>
      <c r="K67" s="63"/>
      <c r="L67" s="63"/>
      <c r="M67" s="63"/>
      <c r="N67" s="63"/>
      <c r="O67" s="63"/>
      <c r="P67" s="63"/>
      <c r="Q67" s="63"/>
      <c r="R67" s="63"/>
      <c r="S67" s="63"/>
      <c r="T67" s="63"/>
      <c r="U67" s="260"/>
      <c r="V67" s="63"/>
      <c r="W67" s="63"/>
      <c r="X67" s="63"/>
      <c r="Y67" s="261"/>
      <c r="Z67" s="63"/>
      <c r="AA67" s="262"/>
      <c r="AB67" s="307"/>
      <c r="AC67" s="264"/>
      <c r="AD67" s="57"/>
    </row>
    <row r="68" spans="1:30" s="55" customFormat="1" ht="20.100000000000001" customHeight="1" x14ac:dyDescent="0.25">
      <c r="B68" s="257" t="s">
        <v>223</v>
      </c>
      <c r="C68" s="63"/>
      <c r="D68" s="63"/>
      <c r="E68" s="63"/>
      <c r="F68" s="63"/>
      <c r="G68" s="63"/>
      <c r="H68" s="63"/>
      <c r="I68" s="63"/>
      <c r="J68" s="63"/>
      <c r="K68" s="63"/>
      <c r="L68" s="63"/>
      <c r="M68" s="63"/>
      <c r="N68" s="63"/>
      <c r="O68" s="63"/>
      <c r="P68" s="63"/>
      <c r="Q68" s="63"/>
      <c r="R68" s="63"/>
      <c r="S68" s="63"/>
      <c r="T68" s="63"/>
      <c r="U68" s="260"/>
      <c r="V68" s="63"/>
      <c r="W68" s="63"/>
      <c r="X68" s="63"/>
      <c r="Y68" s="261"/>
      <c r="Z68" s="63"/>
      <c r="AA68" s="262"/>
      <c r="AB68" s="287"/>
      <c r="AC68" s="264"/>
      <c r="AD68" s="57"/>
    </row>
    <row r="69" spans="1:30" s="55" customFormat="1" ht="20.100000000000001" customHeight="1" x14ac:dyDescent="0.25">
      <c r="B69" s="257" t="s">
        <v>224</v>
      </c>
      <c r="C69" s="257"/>
      <c r="D69" s="257"/>
      <c r="E69" s="257"/>
      <c r="F69" s="257"/>
      <c r="G69" s="257"/>
      <c r="H69" s="257"/>
      <c r="I69" s="257"/>
      <c r="J69" s="257"/>
      <c r="K69" s="257"/>
      <c r="L69" s="257"/>
      <c r="M69" s="257"/>
      <c r="N69" s="257"/>
      <c r="O69" s="257"/>
      <c r="P69" s="63"/>
      <c r="Q69" s="63"/>
      <c r="R69" s="63"/>
      <c r="S69" s="63"/>
      <c r="T69" s="63"/>
      <c r="U69" s="260"/>
      <c r="V69" s="63"/>
      <c r="W69" s="63"/>
      <c r="X69" s="63"/>
      <c r="Y69" s="261"/>
      <c r="Z69" s="63"/>
      <c r="AA69" s="262"/>
      <c r="AB69" s="263"/>
      <c r="AC69" s="264"/>
      <c r="AD69" s="57"/>
    </row>
    <row r="70" spans="1:30" s="55" customFormat="1" ht="17.45" customHeight="1" x14ac:dyDescent="0.25">
      <c r="B70" s="63" t="s">
        <v>225</v>
      </c>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57"/>
    </row>
    <row r="71" spans="1:30" ht="35.1" customHeight="1" x14ac:dyDescent="0.25">
      <c r="B71" s="309" t="s">
        <v>226</v>
      </c>
      <c r="C71" s="309"/>
      <c r="D71" s="309"/>
      <c r="E71" s="309"/>
      <c r="F71" s="309"/>
      <c r="G71" s="309"/>
      <c r="H71" s="309"/>
      <c r="I71" s="309"/>
      <c r="J71" s="309"/>
      <c r="K71" s="309"/>
      <c r="L71" s="309"/>
      <c r="M71" s="309"/>
      <c r="N71" s="309"/>
      <c r="O71" s="309"/>
      <c r="P71" s="309"/>
      <c r="Q71" s="309"/>
      <c r="R71" s="309"/>
      <c r="S71" s="309"/>
      <c r="T71" s="309"/>
      <c r="U71" s="309"/>
      <c r="V71" s="309"/>
      <c r="W71" s="309"/>
      <c r="X71" s="309"/>
      <c r="Y71" s="309"/>
      <c r="Z71" s="309"/>
      <c r="AA71" s="309"/>
      <c r="AB71" s="309"/>
      <c r="AC71" s="309"/>
    </row>
    <row r="72" spans="1:30" ht="18.600000000000001" customHeight="1" x14ac:dyDescent="0.25">
      <c r="B72" s="63" t="s">
        <v>227</v>
      </c>
      <c r="C72" s="63"/>
      <c r="D72" s="63"/>
      <c r="E72" s="63"/>
      <c r="F72" s="63"/>
      <c r="G72" s="63"/>
      <c r="H72" s="63"/>
      <c r="I72" s="63"/>
      <c r="J72" s="63"/>
      <c r="K72" s="63"/>
      <c r="L72" s="63"/>
      <c r="M72" s="63"/>
      <c r="N72" s="63"/>
      <c r="O72" s="63"/>
      <c r="P72" s="63"/>
      <c r="Q72" s="63"/>
      <c r="R72" s="63"/>
      <c r="S72" s="63"/>
      <c r="T72" s="63"/>
      <c r="U72" s="63"/>
      <c r="V72" s="63"/>
      <c r="W72" s="265"/>
      <c r="X72" s="63"/>
      <c r="Y72" s="63"/>
      <c r="Z72" s="63"/>
      <c r="AA72" s="63"/>
      <c r="AB72" s="263"/>
      <c r="AC72" s="63"/>
    </row>
    <row r="73" spans="1:30" s="55" customFormat="1" ht="24.95" customHeight="1" x14ac:dyDescent="0.25">
      <c r="A73" s="63"/>
      <c r="B73" s="63" t="s">
        <v>228</v>
      </c>
      <c r="C73" s="286"/>
      <c r="D73" s="286"/>
      <c r="E73" s="286"/>
      <c r="F73" s="286"/>
      <c r="G73" s="286"/>
      <c r="H73" s="286"/>
      <c r="I73" s="286"/>
      <c r="J73" s="63"/>
      <c r="K73" s="266"/>
      <c r="L73" s="63"/>
      <c r="M73" s="63"/>
      <c r="N73" s="63"/>
      <c r="O73" s="63"/>
      <c r="P73" s="63"/>
      <c r="Q73" s="63"/>
      <c r="R73" s="63"/>
      <c r="S73" s="63"/>
      <c r="T73" s="63"/>
      <c r="U73" s="260"/>
      <c r="V73" s="63"/>
      <c r="W73" s="63"/>
      <c r="X73" s="63"/>
      <c r="Y73" s="261"/>
      <c r="Z73" s="63"/>
      <c r="AA73" s="262"/>
      <c r="AB73" s="263"/>
      <c r="AC73" s="264"/>
      <c r="AD73" s="57"/>
    </row>
    <row r="74" spans="1:30" ht="17.25" x14ac:dyDescent="0.25">
      <c r="B74" s="64" t="s">
        <v>244</v>
      </c>
    </row>
    <row r="75" spans="1:30" ht="17.25" x14ac:dyDescent="0.25">
      <c r="B75" s="285"/>
    </row>
  </sheetData>
  <sortState ref="A5:AF62">
    <sortCondition ref="B5:B62"/>
  </sortState>
  <mergeCells count="9">
    <mergeCell ref="B71:AC71"/>
    <mergeCell ref="Y4:Y5"/>
    <mergeCell ref="D4:F4"/>
    <mergeCell ref="N4:O4"/>
    <mergeCell ref="A5:A6"/>
    <mergeCell ref="B5:B6"/>
    <mergeCell ref="Q4:T4"/>
    <mergeCell ref="U4:W4"/>
    <mergeCell ref="H4:L4"/>
  </mergeCells>
  <printOptions horizontalCentered="1"/>
  <pageMargins left="0" right="0" top="0.5" bottom="0" header="0.3" footer="0"/>
  <pageSetup scale="33" orientation="landscape" r:id="rId1"/>
  <headerFooter>
    <oddHeader xml:space="preserve">&amp;C&amp;"-,Bold"&amp;16 </oddHead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pageSetUpPr fitToPage="1"/>
  </sheetPr>
  <dimension ref="A1:J67"/>
  <sheetViews>
    <sheetView zoomScaleNormal="100" workbookViewId="0">
      <pane xSplit="2" ySplit="6" topLeftCell="C7" activePane="bottomRight" state="frozen"/>
      <selection pane="topRight" activeCell="D1" sqref="D1"/>
      <selection pane="bottomLeft" activeCell="A6" sqref="A6"/>
      <selection pane="bottomRight" activeCell="O32" sqref="O32"/>
    </sheetView>
  </sheetViews>
  <sheetFormatPr defaultColWidth="9.140625" defaultRowHeight="15" x14ac:dyDescent="0.25"/>
  <cols>
    <col min="1" max="1" width="8.140625" style="1" bestFit="1" customWidth="1"/>
    <col min="2" max="6" width="15.85546875" style="1" customWidth="1"/>
    <col min="7" max="7" width="15.85546875" style="153" customWidth="1"/>
    <col min="8" max="8" width="15.85546875" style="1" customWidth="1"/>
    <col min="9" max="9" width="15.85546875" style="154" customWidth="1"/>
    <col min="10" max="16384" width="9.140625" style="1"/>
  </cols>
  <sheetData>
    <row r="1" spans="1:10" ht="18.75" x14ac:dyDescent="0.3">
      <c r="A1" s="2" t="s">
        <v>174</v>
      </c>
    </row>
    <row r="2" spans="1:10" ht="15" customHeight="1" x14ac:dyDescent="0.25">
      <c r="A2" s="50" t="s">
        <v>241</v>
      </c>
    </row>
    <row r="3" spans="1:10" ht="15" customHeight="1" x14ac:dyDescent="0.25">
      <c r="A3" s="159"/>
    </row>
    <row r="4" spans="1:10" ht="15" customHeight="1" x14ac:dyDescent="0.25">
      <c r="A4" s="155"/>
      <c r="F4" s="325" t="s">
        <v>177</v>
      </c>
      <c r="G4" s="326"/>
      <c r="H4" s="326"/>
    </row>
    <row r="5" spans="1:10" ht="51" x14ac:dyDescent="0.25">
      <c r="A5" s="321" t="s">
        <v>68</v>
      </c>
      <c r="B5" s="323" t="s">
        <v>73</v>
      </c>
      <c r="C5" s="12" t="s">
        <v>72</v>
      </c>
      <c r="D5" s="12" t="s">
        <v>71</v>
      </c>
      <c r="E5" s="160" t="s">
        <v>70</v>
      </c>
      <c r="F5" s="78" t="s">
        <v>178</v>
      </c>
      <c r="G5" s="78" t="s">
        <v>179</v>
      </c>
      <c r="H5" s="78" t="s">
        <v>180</v>
      </c>
      <c r="I5" s="92" t="s">
        <v>175</v>
      </c>
    </row>
    <row r="6" spans="1:10" x14ac:dyDescent="0.25">
      <c r="A6" s="322"/>
      <c r="B6" s="324"/>
      <c r="C6" s="82" t="s">
        <v>65</v>
      </c>
      <c r="D6" s="82" t="s">
        <v>1</v>
      </c>
      <c r="E6" s="82" t="s">
        <v>66</v>
      </c>
      <c r="F6" s="82" t="s">
        <v>2</v>
      </c>
      <c r="G6" s="82" t="s">
        <v>3</v>
      </c>
      <c r="H6" s="82" t="s">
        <v>83</v>
      </c>
      <c r="I6" s="82" t="s">
        <v>110</v>
      </c>
    </row>
    <row r="7" spans="1:10" ht="15" customHeight="1" x14ac:dyDescent="0.25">
      <c r="A7" s="5">
        <v>4</v>
      </c>
      <c r="B7" s="6" t="s">
        <v>53</v>
      </c>
      <c r="C7" s="151">
        <v>1</v>
      </c>
      <c r="D7" s="151">
        <v>0</v>
      </c>
      <c r="E7" s="152" t="s">
        <v>238</v>
      </c>
      <c r="F7" s="283">
        <v>1.4770855903625488</v>
      </c>
      <c r="G7" s="283"/>
      <c r="H7" s="283">
        <v>1.4770855903625488</v>
      </c>
      <c r="I7" s="283">
        <v>1.4770855903625488</v>
      </c>
      <c r="J7"/>
    </row>
    <row r="8" spans="1:10" ht="15" customHeight="1" x14ac:dyDescent="0.25">
      <c r="A8" s="5">
        <v>1</v>
      </c>
      <c r="B8" s="7" t="s">
        <v>4</v>
      </c>
      <c r="C8" s="151">
        <v>1</v>
      </c>
      <c r="D8" s="151">
        <v>0</v>
      </c>
      <c r="E8" s="152" t="s">
        <v>238</v>
      </c>
      <c r="F8" s="283">
        <v>0.67904114723205566</v>
      </c>
      <c r="G8" s="283"/>
      <c r="H8" s="283">
        <v>0.67904114723205566</v>
      </c>
      <c r="I8" s="283">
        <v>0.67904114723205566</v>
      </c>
      <c r="J8"/>
    </row>
    <row r="9" spans="1:10" ht="15" customHeight="1" x14ac:dyDescent="0.25">
      <c r="A9" s="5">
        <v>1</v>
      </c>
      <c r="B9" s="7" t="s">
        <v>5</v>
      </c>
      <c r="C9" s="151">
        <v>0.2957313060760498</v>
      </c>
      <c r="D9" s="151">
        <v>0.70426863431930542</v>
      </c>
      <c r="E9" s="247" t="s">
        <v>239</v>
      </c>
      <c r="F9" s="283">
        <v>0.92428499460220337</v>
      </c>
      <c r="G9" s="283">
        <v>1.0173923969268799</v>
      </c>
      <c r="H9" s="283">
        <v>0.97083866596221924</v>
      </c>
      <c r="I9" s="283">
        <v>0.97083866596221924</v>
      </c>
      <c r="J9"/>
    </row>
    <row r="10" spans="1:10" ht="15" customHeight="1" x14ac:dyDescent="0.25">
      <c r="A10" s="5">
        <v>2</v>
      </c>
      <c r="B10" s="6" t="s">
        <v>19</v>
      </c>
      <c r="C10" s="151">
        <v>0.79779410362243652</v>
      </c>
      <c r="D10" s="151">
        <v>0.20220588147640228</v>
      </c>
      <c r="E10" s="152" t="s">
        <v>238</v>
      </c>
      <c r="F10" s="283">
        <v>0.90830177068710327</v>
      </c>
      <c r="G10" s="283">
        <v>0.96047329902648926</v>
      </c>
      <c r="H10" s="283">
        <v>0.93438756465911865</v>
      </c>
      <c r="I10" s="283">
        <v>0.90830177068710327</v>
      </c>
      <c r="J10"/>
    </row>
    <row r="11" spans="1:10" ht="15" customHeight="1" x14ac:dyDescent="0.25">
      <c r="A11" s="5">
        <v>1</v>
      </c>
      <c r="B11" s="7" t="s">
        <v>6</v>
      </c>
      <c r="C11" s="151">
        <v>0.67202293872833252</v>
      </c>
      <c r="D11" s="151">
        <v>0.32797703146934509</v>
      </c>
      <c r="E11" s="152" t="s">
        <v>238</v>
      </c>
      <c r="F11" s="283">
        <v>0.82986325025558472</v>
      </c>
      <c r="G11" s="283">
        <v>0.91187435388565063</v>
      </c>
      <c r="H11" s="283">
        <v>0.87086880207061768</v>
      </c>
      <c r="I11" s="283">
        <v>0.82986325025558472</v>
      </c>
      <c r="J11"/>
    </row>
    <row r="12" spans="1:10" ht="15" customHeight="1" x14ac:dyDescent="0.25">
      <c r="A12" s="5">
        <v>1</v>
      </c>
      <c r="B12" s="7" t="s">
        <v>7</v>
      </c>
      <c r="C12" s="151">
        <v>0.96779489517211914</v>
      </c>
      <c r="D12" s="151">
        <v>3.2205060124397278E-2</v>
      </c>
      <c r="E12" s="152" t="s">
        <v>238</v>
      </c>
      <c r="F12" s="283">
        <v>0.72858595848083496</v>
      </c>
      <c r="G12" s="283">
        <v>0.97458899021148682</v>
      </c>
      <c r="H12" s="283">
        <v>0.85158747434616089</v>
      </c>
      <c r="I12" s="283">
        <v>0.72858595848083496</v>
      </c>
      <c r="J12"/>
    </row>
    <row r="13" spans="1:10" ht="15" customHeight="1" x14ac:dyDescent="0.25">
      <c r="A13" s="5">
        <v>3</v>
      </c>
      <c r="B13" s="6" t="s">
        <v>41</v>
      </c>
      <c r="C13" s="151">
        <v>1</v>
      </c>
      <c r="D13" s="151">
        <v>0</v>
      </c>
      <c r="E13" s="152" t="s">
        <v>238</v>
      </c>
      <c r="F13" s="283">
        <v>1.3238526582717896</v>
      </c>
      <c r="G13" s="283"/>
      <c r="H13" s="283">
        <v>1.3238526582717896</v>
      </c>
      <c r="I13" s="283">
        <v>1.3238526582717896</v>
      </c>
      <c r="J13"/>
    </row>
    <row r="14" spans="1:10" ht="15" customHeight="1" x14ac:dyDescent="0.25">
      <c r="A14" s="5">
        <v>1</v>
      </c>
      <c r="B14" s="7" t="s">
        <v>8</v>
      </c>
      <c r="C14" s="151">
        <v>0.34221494197845459</v>
      </c>
      <c r="D14" s="151">
        <v>0.65778505802154541</v>
      </c>
      <c r="E14" s="247" t="s">
        <v>239</v>
      </c>
      <c r="F14" s="283">
        <v>0.6558535099029541</v>
      </c>
      <c r="G14" s="283">
        <v>0.86079227924346924</v>
      </c>
      <c r="H14" s="283">
        <v>0.75832289457321167</v>
      </c>
      <c r="I14" s="283">
        <v>0.75832289457321167</v>
      </c>
      <c r="J14"/>
    </row>
    <row r="15" spans="1:10" ht="15" customHeight="1" x14ac:dyDescent="0.25">
      <c r="A15" s="5">
        <v>2</v>
      </c>
      <c r="B15" s="7" t="s">
        <v>20</v>
      </c>
      <c r="C15" s="151">
        <v>1</v>
      </c>
      <c r="D15" s="151">
        <v>0</v>
      </c>
      <c r="E15" s="152" t="s">
        <v>238</v>
      </c>
      <c r="F15" s="283">
        <v>1.086168646812439</v>
      </c>
      <c r="G15" s="283"/>
      <c r="H15" s="283">
        <v>1.086168646812439</v>
      </c>
      <c r="I15" s="283">
        <v>1.086168646812439</v>
      </c>
      <c r="J15"/>
    </row>
    <row r="16" spans="1:10" ht="15" customHeight="1" x14ac:dyDescent="0.25">
      <c r="A16" s="5">
        <v>3</v>
      </c>
      <c r="B16" s="6" t="s">
        <v>42</v>
      </c>
      <c r="C16" s="151">
        <v>1</v>
      </c>
      <c r="D16" s="151">
        <v>0</v>
      </c>
      <c r="E16" s="152" t="s">
        <v>238</v>
      </c>
      <c r="F16" s="283">
        <v>0.93423771858215332</v>
      </c>
      <c r="G16" s="283"/>
      <c r="H16" s="283">
        <v>0.93423771858215332</v>
      </c>
      <c r="I16" s="283">
        <v>0.93423771858215332</v>
      </c>
      <c r="J16"/>
    </row>
    <row r="17" spans="1:10" ht="15" customHeight="1" x14ac:dyDescent="0.25">
      <c r="A17" s="5">
        <v>1</v>
      </c>
      <c r="B17" s="7" t="s">
        <v>9</v>
      </c>
      <c r="C17" s="151">
        <v>0.95043182373046875</v>
      </c>
      <c r="D17" s="151">
        <v>4.9568153917789459E-2</v>
      </c>
      <c r="E17" s="152" t="s">
        <v>238</v>
      </c>
      <c r="F17" s="283">
        <v>0.70527511835098267</v>
      </c>
      <c r="G17" s="283">
        <v>1.1367647647857666</v>
      </c>
      <c r="H17" s="283">
        <v>0.92101991176605225</v>
      </c>
      <c r="I17" s="283">
        <v>0.70527511835098267</v>
      </c>
      <c r="J17"/>
    </row>
    <row r="18" spans="1:10" ht="15" customHeight="1" x14ac:dyDescent="0.25">
      <c r="A18" s="5">
        <v>2</v>
      </c>
      <c r="B18" s="7" t="s">
        <v>21</v>
      </c>
      <c r="C18" s="151">
        <v>1</v>
      </c>
      <c r="D18" s="151">
        <v>0</v>
      </c>
      <c r="E18" s="152" t="s">
        <v>238</v>
      </c>
      <c r="F18" s="283">
        <v>0.73123687505722046</v>
      </c>
      <c r="G18" s="283"/>
      <c r="H18" s="283">
        <v>0.73123687505722046</v>
      </c>
      <c r="I18" s="283">
        <v>0.73123687505722046</v>
      </c>
      <c r="J18"/>
    </row>
    <row r="19" spans="1:10" ht="15" customHeight="1" x14ac:dyDescent="0.25">
      <c r="A19" s="5">
        <v>2</v>
      </c>
      <c r="B19" s="6" t="s">
        <v>22</v>
      </c>
      <c r="C19" s="151">
        <v>0.51996523141860962</v>
      </c>
      <c r="D19" s="151">
        <v>0.48003476858139038</v>
      </c>
      <c r="E19" s="152" t="s">
        <v>238</v>
      </c>
      <c r="F19" s="283">
        <v>0.70267742872238159</v>
      </c>
      <c r="G19" s="283">
        <v>0.87351381778717041</v>
      </c>
      <c r="H19" s="283">
        <v>0.78809559345245361</v>
      </c>
      <c r="I19" s="283">
        <v>0.70267742872238159</v>
      </c>
      <c r="J19"/>
    </row>
    <row r="20" spans="1:10" ht="15" customHeight="1" x14ac:dyDescent="0.25">
      <c r="A20" s="5">
        <v>1</v>
      </c>
      <c r="B20" s="7" t="s">
        <v>10</v>
      </c>
      <c r="C20" s="151">
        <v>0.67556065320968628</v>
      </c>
      <c r="D20" s="151">
        <v>0.3244394063949585</v>
      </c>
      <c r="E20" s="152" t="s">
        <v>238</v>
      </c>
      <c r="F20" s="283">
        <v>0.77925384044647217</v>
      </c>
      <c r="G20" s="283">
        <v>0.96106690168380737</v>
      </c>
      <c r="H20" s="283">
        <v>0.87016034126281738</v>
      </c>
      <c r="I20" s="283">
        <v>0.77925384044647217</v>
      </c>
      <c r="J20"/>
    </row>
    <row r="21" spans="1:10" ht="15" customHeight="1" x14ac:dyDescent="0.25">
      <c r="A21" s="5">
        <v>3</v>
      </c>
      <c r="B21" s="7" t="s">
        <v>43</v>
      </c>
      <c r="C21" s="151">
        <v>0.56515717506408691</v>
      </c>
      <c r="D21" s="151">
        <v>0.4348427951335907</v>
      </c>
      <c r="E21" s="152" t="s">
        <v>238</v>
      </c>
      <c r="F21" s="283">
        <v>0.93203520774841309</v>
      </c>
      <c r="G21" s="283">
        <v>1.0064558982849121</v>
      </c>
      <c r="H21" s="283">
        <v>0.9692455530166626</v>
      </c>
      <c r="I21" s="283">
        <v>0.93203520774841309</v>
      </c>
      <c r="J21"/>
    </row>
    <row r="22" spans="1:10" ht="15" customHeight="1" x14ac:dyDescent="0.25">
      <c r="A22" s="5">
        <v>2</v>
      </c>
      <c r="B22" s="6" t="s">
        <v>23</v>
      </c>
      <c r="C22" s="151">
        <v>0.34957101941108704</v>
      </c>
      <c r="D22" s="151">
        <v>0.65042901039123535</v>
      </c>
      <c r="E22" s="248" t="s">
        <v>239</v>
      </c>
      <c r="F22" s="283">
        <v>0.86219364404678345</v>
      </c>
      <c r="G22" s="283">
        <v>0.89153879880905151</v>
      </c>
      <c r="H22" s="283">
        <v>0.87686622142791748</v>
      </c>
      <c r="I22" s="283">
        <v>0.87686622142791748</v>
      </c>
      <c r="J22"/>
    </row>
    <row r="23" spans="1:10" ht="15" customHeight="1" x14ac:dyDescent="0.25">
      <c r="A23" s="5">
        <v>2</v>
      </c>
      <c r="B23" s="7" t="s">
        <v>24</v>
      </c>
      <c r="C23" s="151">
        <v>1</v>
      </c>
      <c r="D23" s="151">
        <v>0</v>
      </c>
      <c r="E23" s="152" t="s">
        <v>238</v>
      </c>
      <c r="F23" s="283">
        <v>0.73438078165054321</v>
      </c>
      <c r="G23" s="283"/>
      <c r="H23" s="283">
        <v>0.73438078165054321</v>
      </c>
      <c r="I23" s="283">
        <v>0.73438078165054321</v>
      </c>
      <c r="J23"/>
    </row>
    <row r="24" spans="1:10" ht="15" customHeight="1" x14ac:dyDescent="0.25">
      <c r="A24" s="5">
        <v>1</v>
      </c>
      <c r="B24" s="7" t="s">
        <v>11</v>
      </c>
      <c r="C24" s="151">
        <v>0.18692672252655029</v>
      </c>
      <c r="D24" s="151">
        <v>0.81307327747344971</v>
      </c>
      <c r="E24" s="248" t="s">
        <v>239</v>
      </c>
      <c r="F24" s="283">
        <v>0.66301596164703369</v>
      </c>
      <c r="G24" s="283">
        <v>0.91282051801681519</v>
      </c>
      <c r="H24" s="283">
        <v>0.78791821002960205</v>
      </c>
      <c r="I24" s="283">
        <v>0.78791821002960205</v>
      </c>
      <c r="J24"/>
    </row>
    <row r="25" spans="1:10" ht="15" customHeight="1" x14ac:dyDescent="0.25">
      <c r="A25" s="5">
        <v>4</v>
      </c>
      <c r="B25" s="6" t="s">
        <v>54</v>
      </c>
      <c r="C25" s="151">
        <v>0.90070462226867676</v>
      </c>
      <c r="D25" s="151">
        <v>9.9295362830162048E-2</v>
      </c>
      <c r="E25" s="152" t="s">
        <v>238</v>
      </c>
      <c r="F25" s="283">
        <v>1.4015434980392456</v>
      </c>
      <c r="G25" s="283">
        <v>1.2811950445175171</v>
      </c>
      <c r="H25" s="283">
        <v>1.3413692712783813</v>
      </c>
      <c r="I25" s="283">
        <v>1.4015434980392456</v>
      </c>
      <c r="J25"/>
    </row>
    <row r="26" spans="1:10" ht="15" customHeight="1" x14ac:dyDescent="0.25">
      <c r="A26" s="5">
        <v>2</v>
      </c>
      <c r="B26" s="7" t="s">
        <v>25</v>
      </c>
      <c r="C26" s="151">
        <v>0.43393594026565552</v>
      </c>
      <c r="D26" s="151">
        <v>0.56606411933898926</v>
      </c>
      <c r="E26" s="248" t="s">
        <v>239</v>
      </c>
      <c r="F26" s="283">
        <v>0.81964987516403198</v>
      </c>
      <c r="G26" s="283">
        <v>1.0196183919906616</v>
      </c>
      <c r="H26" s="283">
        <v>0.91963410377502441</v>
      </c>
      <c r="I26" s="283">
        <v>0.91963410377502441</v>
      </c>
      <c r="J26"/>
    </row>
    <row r="27" spans="1:10" ht="15" customHeight="1" x14ac:dyDescent="0.25">
      <c r="A27" s="5">
        <v>2</v>
      </c>
      <c r="B27" s="7" t="s">
        <v>26</v>
      </c>
      <c r="C27" s="151">
        <v>0.65518224239349365</v>
      </c>
      <c r="D27" s="151">
        <v>0.34481775760650635</v>
      </c>
      <c r="E27" s="152" t="s">
        <v>238</v>
      </c>
      <c r="F27" s="283">
        <v>1.342115044593811</v>
      </c>
      <c r="G27" s="283">
        <v>0.97370809316635132</v>
      </c>
      <c r="H27" s="283">
        <v>1.1579115390777588</v>
      </c>
      <c r="I27" s="283">
        <v>1.342115044593811</v>
      </c>
      <c r="J27"/>
    </row>
    <row r="28" spans="1:10" ht="15" customHeight="1" x14ac:dyDescent="0.25">
      <c r="A28" s="5">
        <v>1</v>
      </c>
      <c r="B28" s="6" t="s">
        <v>12</v>
      </c>
      <c r="C28" s="151">
        <v>0.50276005268096924</v>
      </c>
      <c r="D28" s="151">
        <v>0.49723991751670837</v>
      </c>
      <c r="E28" s="152" t="s">
        <v>238</v>
      </c>
      <c r="F28" s="283">
        <v>0.88798379898071289</v>
      </c>
      <c r="G28" s="283">
        <v>0.90101534128189087</v>
      </c>
      <c r="H28" s="283">
        <v>0.89449954032897949</v>
      </c>
      <c r="I28" s="283">
        <v>0.88798379898071289</v>
      </c>
      <c r="J28"/>
    </row>
    <row r="29" spans="1:10" ht="15" customHeight="1" x14ac:dyDescent="0.25">
      <c r="A29" s="5">
        <v>2</v>
      </c>
      <c r="B29" s="7" t="s">
        <v>27</v>
      </c>
      <c r="C29" s="151">
        <v>0.82240325212478638</v>
      </c>
      <c r="D29" s="151">
        <v>0.17759674787521362</v>
      </c>
      <c r="E29" s="152" t="s">
        <v>238</v>
      </c>
      <c r="F29" s="283">
        <v>0.78998774290084839</v>
      </c>
      <c r="G29" s="283">
        <v>0.92450231313705444</v>
      </c>
      <c r="H29" s="283">
        <v>0.85724502801895142</v>
      </c>
      <c r="I29" s="283">
        <v>0.78998774290084839</v>
      </c>
      <c r="J29"/>
    </row>
    <row r="30" spans="1:10" ht="15" customHeight="1" x14ac:dyDescent="0.25">
      <c r="A30" s="5">
        <v>2</v>
      </c>
      <c r="B30" s="7" t="s">
        <v>28</v>
      </c>
      <c r="C30" s="151">
        <v>1</v>
      </c>
      <c r="D30" s="151">
        <v>0</v>
      </c>
      <c r="E30" s="152" t="s">
        <v>238</v>
      </c>
      <c r="F30" s="283">
        <v>0.81518125534057617</v>
      </c>
      <c r="G30" s="283"/>
      <c r="H30" s="283">
        <v>0.81518125534057617</v>
      </c>
      <c r="I30" s="283">
        <v>0.81518125534057617</v>
      </c>
      <c r="J30"/>
    </row>
    <row r="31" spans="1:10" ht="15" customHeight="1" x14ac:dyDescent="0.25">
      <c r="A31" s="5">
        <v>1</v>
      </c>
      <c r="B31" s="6" t="s">
        <v>13</v>
      </c>
      <c r="C31" s="151">
        <v>0.83959394693374634</v>
      </c>
      <c r="D31" s="151">
        <v>0.16040609776973724</v>
      </c>
      <c r="E31" s="152" t="s">
        <v>238</v>
      </c>
      <c r="F31" s="283">
        <v>0.57061582803726196</v>
      </c>
      <c r="G31" s="283">
        <v>0.95300531387329102</v>
      </c>
      <c r="H31" s="283">
        <v>0.7618105411529541</v>
      </c>
      <c r="I31" s="283">
        <v>0.57061582803726196</v>
      </c>
      <c r="J31"/>
    </row>
    <row r="32" spans="1:10" ht="15" customHeight="1" x14ac:dyDescent="0.25">
      <c r="A32" s="5">
        <v>1</v>
      </c>
      <c r="B32" s="7" t="s">
        <v>14</v>
      </c>
      <c r="C32" s="151">
        <v>0.90339624881744385</v>
      </c>
      <c r="D32" s="151">
        <v>9.660378098487854E-2</v>
      </c>
      <c r="E32" s="152" t="s">
        <v>238</v>
      </c>
      <c r="F32" s="283">
        <v>0.90321522951126099</v>
      </c>
      <c r="G32" s="283">
        <v>0.91801035404205322</v>
      </c>
      <c r="H32" s="283">
        <v>0.91061282157897949</v>
      </c>
      <c r="I32" s="283">
        <v>0.90321522951126099</v>
      </c>
      <c r="J32"/>
    </row>
    <row r="33" spans="1:10" ht="15" customHeight="1" x14ac:dyDescent="0.25">
      <c r="A33" s="5">
        <v>3</v>
      </c>
      <c r="B33" s="7" t="s">
        <v>44</v>
      </c>
      <c r="C33" s="151">
        <v>0.61936414241790771</v>
      </c>
      <c r="D33" s="151">
        <v>0.38063591718673706</v>
      </c>
      <c r="E33" s="152" t="s">
        <v>238</v>
      </c>
      <c r="F33" s="283">
        <v>1.1400796175003052</v>
      </c>
      <c r="G33" s="283">
        <v>0.93129217624664307</v>
      </c>
      <c r="H33" s="283">
        <v>1.0356858968734741</v>
      </c>
      <c r="I33" s="283">
        <v>1.1400796175003052</v>
      </c>
      <c r="J33"/>
    </row>
    <row r="34" spans="1:10" ht="15" customHeight="1" x14ac:dyDescent="0.25">
      <c r="A34" s="5">
        <v>2</v>
      </c>
      <c r="B34" s="6" t="s">
        <v>29</v>
      </c>
      <c r="C34" s="151">
        <v>0.78889238834381104</v>
      </c>
      <c r="D34" s="151">
        <v>0.21110761165618896</v>
      </c>
      <c r="E34" s="152" t="s">
        <v>238</v>
      </c>
      <c r="F34" s="283">
        <v>1.2633734941482544</v>
      </c>
      <c r="G34" s="283">
        <v>1.0588767528533936</v>
      </c>
      <c r="H34" s="283">
        <v>1.1611251831054688</v>
      </c>
      <c r="I34" s="283">
        <v>1.2633734941482544</v>
      </c>
      <c r="J34"/>
    </row>
    <row r="35" spans="1:10" ht="15" customHeight="1" x14ac:dyDescent="0.25">
      <c r="A35" s="5">
        <v>2</v>
      </c>
      <c r="B35" s="7" t="s">
        <v>30</v>
      </c>
      <c r="C35" s="151">
        <v>0.7010154128074646</v>
      </c>
      <c r="D35" s="151">
        <v>0.2989845871925354</v>
      </c>
      <c r="E35" s="152" t="s">
        <v>238</v>
      </c>
      <c r="F35" s="283">
        <v>1.072590708732605</v>
      </c>
      <c r="G35" s="283">
        <v>0.62461024522781372</v>
      </c>
      <c r="H35" s="283">
        <v>0.84860050678253174</v>
      </c>
      <c r="I35" s="283">
        <v>1.072590708732605</v>
      </c>
      <c r="J35"/>
    </row>
    <row r="36" spans="1:10" ht="15" customHeight="1" x14ac:dyDescent="0.25">
      <c r="A36" s="5">
        <v>4</v>
      </c>
      <c r="B36" s="7" t="s">
        <v>55</v>
      </c>
      <c r="C36" s="151">
        <v>0.89114850759506226</v>
      </c>
      <c r="D36" s="151">
        <v>0.10885150730609894</v>
      </c>
      <c r="E36" s="152" t="s">
        <v>238</v>
      </c>
      <c r="F36" s="283">
        <v>1.2518496513366699</v>
      </c>
      <c r="G36" s="283">
        <v>1.1742918491363525</v>
      </c>
      <c r="H36" s="283">
        <v>1.2130707502365112</v>
      </c>
      <c r="I36" s="283">
        <v>1.2518496513366699</v>
      </c>
      <c r="J36"/>
    </row>
    <row r="37" spans="1:10" ht="15" customHeight="1" x14ac:dyDescent="0.25">
      <c r="A37" s="5">
        <v>2</v>
      </c>
      <c r="B37" s="6" t="s">
        <v>31</v>
      </c>
      <c r="C37" s="151">
        <v>1</v>
      </c>
      <c r="D37" s="151">
        <v>0</v>
      </c>
      <c r="E37" s="152" t="s">
        <v>238</v>
      </c>
      <c r="F37" s="283">
        <v>1.1998845338821411</v>
      </c>
      <c r="G37" s="283"/>
      <c r="H37" s="283">
        <v>1.1998845338821411</v>
      </c>
      <c r="I37" s="283">
        <v>1.1998845338821411</v>
      </c>
      <c r="J37"/>
    </row>
    <row r="38" spans="1:10" ht="15" customHeight="1" x14ac:dyDescent="0.25">
      <c r="A38" s="5">
        <v>1</v>
      </c>
      <c r="B38" s="7" t="s">
        <v>15</v>
      </c>
      <c r="C38" s="151">
        <v>0.92320173978805542</v>
      </c>
      <c r="D38" s="151">
        <v>7.6798267662525177E-2</v>
      </c>
      <c r="E38" s="152" t="s">
        <v>238</v>
      </c>
      <c r="F38" s="283">
        <v>0.69775265455245972</v>
      </c>
      <c r="G38" s="283">
        <v>0.83557337522506714</v>
      </c>
      <c r="H38" s="283">
        <v>0.76666301488876343</v>
      </c>
      <c r="I38" s="283">
        <v>0.69775265455245972</v>
      </c>
      <c r="J38"/>
    </row>
    <row r="39" spans="1:10" ht="15" customHeight="1" x14ac:dyDescent="0.25">
      <c r="A39" s="5">
        <v>4</v>
      </c>
      <c r="B39" s="7" t="s">
        <v>56</v>
      </c>
      <c r="C39" s="151">
        <v>0.7955443263053894</v>
      </c>
      <c r="D39" s="151">
        <v>0.20445568859577179</v>
      </c>
      <c r="E39" s="152" t="s">
        <v>238</v>
      </c>
      <c r="F39" s="283">
        <v>1.1231371164321899</v>
      </c>
      <c r="G39" s="283">
        <v>1.0057909488677979</v>
      </c>
      <c r="H39" s="283">
        <v>1.0644640922546387</v>
      </c>
      <c r="I39" s="283">
        <v>1.1231371164321899</v>
      </c>
      <c r="J39"/>
    </row>
    <row r="40" spans="1:10" ht="15" customHeight="1" x14ac:dyDescent="0.25">
      <c r="A40" s="5">
        <v>4</v>
      </c>
      <c r="B40" s="6" t="s">
        <v>57</v>
      </c>
      <c r="C40" s="151">
        <v>0.18271990120410919</v>
      </c>
      <c r="D40" s="151">
        <v>0.817280113697052</v>
      </c>
      <c r="E40" s="248" t="s">
        <v>239</v>
      </c>
      <c r="F40" s="283">
        <v>1.1933329105377197</v>
      </c>
      <c r="G40" s="283">
        <v>1.4694541692733765</v>
      </c>
      <c r="H40" s="283">
        <v>1.3313934803009033</v>
      </c>
      <c r="I40" s="283">
        <v>1.3313934803009033</v>
      </c>
      <c r="J40"/>
    </row>
    <row r="41" spans="1:10" ht="15" customHeight="1" x14ac:dyDescent="0.25">
      <c r="A41" s="5">
        <v>1</v>
      </c>
      <c r="B41" s="7" t="s">
        <v>16</v>
      </c>
      <c r="C41" s="151">
        <v>0.90234524011611938</v>
      </c>
      <c r="D41" s="151">
        <v>9.7654744982719421E-2</v>
      </c>
      <c r="E41" s="152" t="s">
        <v>238</v>
      </c>
      <c r="F41" s="283">
        <v>1.0250949859619141</v>
      </c>
      <c r="G41" s="283">
        <v>0.74985063076019287</v>
      </c>
      <c r="H41" s="283">
        <v>0.88747280836105347</v>
      </c>
      <c r="I41" s="283">
        <v>1.0250949859619141</v>
      </c>
      <c r="J41"/>
    </row>
    <row r="42" spans="1:10" ht="15" customHeight="1" x14ac:dyDescent="0.25">
      <c r="A42" s="5">
        <v>4</v>
      </c>
      <c r="B42" s="7" t="s">
        <v>58</v>
      </c>
      <c r="C42" s="151">
        <v>0.76561129093170166</v>
      </c>
      <c r="D42" s="151">
        <v>0.23438870906829834</v>
      </c>
      <c r="E42" s="152" t="s">
        <v>238</v>
      </c>
      <c r="F42" s="283">
        <v>1.0805317163467407</v>
      </c>
      <c r="G42" s="283">
        <v>1.0510462522506714</v>
      </c>
      <c r="H42" s="283">
        <v>1.0657889842987061</v>
      </c>
      <c r="I42" s="283">
        <v>1.0805317163467407</v>
      </c>
      <c r="J42"/>
    </row>
    <row r="43" spans="1:10" ht="15" customHeight="1" x14ac:dyDescent="0.25">
      <c r="A43" s="5">
        <v>4</v>
      </c>
      <c r="B43" s="6" t="s">
        <v>59</v>
      </c>
      <c r="C43" s="151">
        <v>1</v>
      </c>
      <c r="D43" s="151">
        <v>0</v>
      </c>
      <c r="E43" s="152" t="s">
        <v>238</v>
      </c>
      <c r="F43" s="283">
        <v>1.1675233840942383</v>
      </c>
      <c r="G43" s="283"/>
      <c r="H43" s="283">
        <v>1.1675233840942383</v>
      </c>
      <c r="I43" s="283">
        <v>1.1675233840942383</v>
      </c>
      <c r="J43"/>
    </row>
    <row r="44" spans="1:10" ht="15" customHeight="1" x14ac:dyDescent="0.25">
      <c r="A44" s="5">
        <v>3</v>
      </c>
      <c r="B44" s="7" t="s">
        <v>60</v>
      </c>
      <c r="C44" s="151">
        <v>1</v>
      </c>
      <c r="D44" s="151">
        <v>0</v>
      </c>
      <c r="E44" s="152" t="s">
        <v>238</v>
      </c>
      <c r="F44" s="283">
        <v>1.6328885555267334</v>
      </c>
      <c r="G44" s="283"/>
      <c r="H44" s="283">
        <v>1.6328885555267334</v>
      </c>
      <c r="I44" s="283">
        <v>1.6328885555267334</v>
      </c>
      <c r="J44"/>
    </row>
    <row r="45" spans="1:10" ht="15" customHeight="1" x14ac:dyDescent="0.25">
      <c r="A45" s="5">
        <v>3</v>
      </c>
      <c r="B45" s="7" t="s">
        <v>45</v>
      </c>
      <c r="C45" s="151">
        <v>0.67882591485977173</v>
      </c>
      <c r="D45" s="151">
        <v>0.32117405533790588</v>
      </c>
      <c r="E45" s="152" t="s">
        <v>238</v>
      </c>
      <c r="F45" s="283">
        <v>1.0498523712158203</v>
      </c>
      <c r="G45" s="283">
        <v>0.98041737079620361</v>
      </c>
      <c r="H45" s="283">
        <v>1.0151348114013672</v>
      </c>
      <c r="I45" s="283">
        <v>1.0498523712158203</v>
      </c>
      <c r="J45"/>
    </row>
    <row r="46" spans="1:10" ht="15" customHeight="1" x14ac:dyDescent="0.25">
      <c r="A46" s="5">
        <v>2</v>
      </c>
      <c r="B46" s="6" t="s">
        <v>32</v>
      </c>
      <c r="C46" s="151">
        <v>0.55093967914581299</v>
      </c>
      <c r="D46" s="151">
        <v>0.44906032085418701</v>
      </c>
      <c r="E46" s="152" t="s">
        <v>238</v>
      </c>
      <c r="F46" s="283">
        <v>1.0498647689819336</v>
      </c>
      <c r="G46" s="283">
        <v>1.0381602048873901</v>
      </c>
      <c r="H46" s="283">
        <v>1.0440125465393066</v>
      </c>
      <c r="I46" s="283">
        <v>1.0498647689819336</v>
      </c>
      <c r="J46"/>
    </row>
    <row r="47" spans="1:10" ht="15" customHeight="1" x14ac:dyDescent="0.25">
      <c r="A47" s="5">
        <v>3</v>
      </c>
      <c r="B47" s="7" t="s">
        <v>46</v>
      </c>
      <c r="C47" s="151">
        <v>0.96741372346878052</v>
      </c>
      <c r="D47" s="151">
        <v>3.2586283981800079E-2</v>
      </c>
      <c r="E47" s="152" t="s">
        <v>238</v>
      </c>
      <c r="F47" s="283">
        <v>1.5021858215332031</v>
      </c>
      <c r="G47" s="283">
        <v>0.95502722263336182</v>
      </c>
      <c r="H47" s="283">
        <v>1.2286064624786377</v>
      </c>
      <c r="I47" s="283">
        <v>1.5021858215332031</v>
      </c>
      <c r="J47"/>
    </row>
    <row r="48" spans="1:10" ht="15" customHeight="1" x14ac:dyDescent="0.25">
      <c r="A48" s="5">
        <v>3</v>
      </c>
      <c r="B48" s="7" t="s">
        <v>47</v>
      </c>
      <c r="C48" s="151">
        <v>0.92223972082138062</v>
      </c>
      <c r="D48" s="151">
        <v>7.7760249376296997E-2</v>
      </c>
      <c r="E48" s="152" t="s">
        <v>238</v>
      </c>
      <c r="F48" s="283">
        <v>1.2230195999145508</v>
      </c>
      <c r="G48" s="283">
        <v>0.99888014793395996</v>
      </c>
      <c r="H48" s="283">
        <v>1.1109498739242554</v>
      </c>
      <c r="I48" s="283">
        <v>1.2230195999145508</v>
      </c>
      <c r="J48"/>
    </row>
    <row r="49" spans="1:10" ht="15" customHeight="1" x14ac:dyDescent="0.25">
      <c r="A49" s="5">
        <v>4</v>
      </c>
      <c r="B49" s="6" t="s">
        <v>61</v>
      </c>
      <c r="C49" s="151">
        <v>1</v>
      </c>
      <c r="D49" s="151">
        <v>0</v>
      </c>
      <c r="E49" s="152" t="s">
        <v>238</v>
      </c>
      <c r="F49" s="283">
        <v>1.4827224016189575</v>
      </c>
      <c r="G49" s="283"/>
      <c r="H49" s="283">
        <v>1.4827224016189575</v>
      </c>
      <c r="I49" s="283">
        <v>1.4827224016189575</v>
      </c>
      <c r="J49"/>
    </row>
    <row r="50" spans="1:10" ht="15" customHeight="1" x14ac:dyDescent="0.25">
      <c r="A50" s="5">
        <v>2</v>
      </c>
      <c r="B50" s="7" t="s">
        <v>33</v>
      </c>
      <c r="C50" s="151">
        <v>0.84632158279418945</v>
      </c>
      <c r="D50" s="151">
        <v>0.15367843210697174</v>
      </c>
      <c r="E50" s="152" t="s">
        <v>238</v>
      </c>
      <c r="F50" s="283">
        <v>1.1644649505615234</v>
      </c>
      <c r="G50" s="283">
        <v>0.79774767160415649</v>
      </c>
      <c r="H50" s="283">
        <v>0.98110628128051758</v>
      </c>
      <c r="I50" s="283">
        <v>1.1644649505615234</v>
      </c>
      <c r="J50"/>
    </row>
    <row r="51" spans="1:10" ht="15" customHeight="1" x14ac:dyDescent="0.25">
      <c r="A51" s="5">
        <v>2</v>
      </c>
      <c r="B51" s="7" t="s">
        <v>34</v>
      </c>
      <c r="C51" s="151">
        <v>0.6921459436416626</v>
      </c>
      <c r="D51" s="151">
        <v>0.30785402655601501</v>
      </c>
      <c r="E51" s="152" t="s">
        <v>238</v>
      </c>
      <c r="F51" s="283">
        <v>0.87440097332000732</v>
      </c>
      <c r="G51" s="283">
        <v>1.0655238628387451</v>
      </c>
      <c r="H51" s="283">
        <v>0.96996241807937622</v>
      </c>
      <c r="I51" s="283">
        <v>0.87440097332000732</v>
      </c>
      <c r="J51"/>
    </row>
    <row r="52" spans="1:10" ht="15" customHeight="1" x14ac:dyDescent="0.25">
      <c r="A52" s="5">
        <v>1</v>
      </c>
      <c r="B52" s="6" t="s">
        <v>17</v>
      </c>
      <c r="C52" s="308">
        <v>1</v>
      </c>
      <c r="D52" s="308">
        <v>0</v>
      </c>
      <c r="E52" s="152" t="s">
        <v>238</v>
      </c>
      <c r="F52" s="288">
        <v>0.62195944786071777</v>
      </c>
      <c r="G52" s="283"/>
      <c r="H52" s="283"/>
      <c r="I52" s="288">
        <v>0.62195944786071777</v>
      </c>
      <c r="J52"/>
    </row>
    <row r="53" spans="1:10" ht="15" customHeight="1" x14ac:dyDescent="0.25">
      <c r="A53" s="5">
        <v>2</v>
      </c>
      <c r="B53" s="7" t="s">
        <v>35</v>
      </c>
      <c r="C53" s="151">
        <v>0.73256498575210571</v>
      </c>
      <c r="D53" s="151">
        <v>0.2674349844455719</v>
      </c>
      <c r="E53" s="152" t="s">
        <v>238</v>
      </c>
      <c r="F53" s="283">
        <v>0.68621337413787842</v>
      </c>
      <c r="G53" s="283">
        <v>0.89724558591842651</v>
      </c>
      <c r="H53" s="283">
        <v>0.79172945022583008</v>
      </c>
      <c r="I53" s="283">
        <v>0.68621337413787842</v>
      </c>
      <c r="J53"/>
    </row>
    <row r="54" spans="1:10" ht="15" customHeight="1" x14ac:dyDescent="0.25">
      <c r="A54" s="5">
        <v>3</v>
      </c>
      <c r="B54" s="7" t="s">
        <v>48</v>
      </c>
      <c r="C54" s="151">
        <v>0.66629594564437866</v>
      </c>
      <c r="D54" s="151">
        <v>0.33370402455329895</v>
      </c>
      <c r="E54" s="152" t="s">
        <v>238</v>
      </c>
      <c r="F54" s="283">
        <v>1.2054431438446045</v>
      </c>
      <c r="G54" s="283">
        <v>1.1344563961029053</v>
      </c>
      <c r="H54" s="283">
        <v>1.1699497699737549</v>
      </c>
      <c r="I54" s="283">
        <v>1.2054431438446045</v>
      </c>
      <c r="J54"/>
    </row>
    <row r="55" spans="1:10" ht="15" customHeight="1" x14ac:dyDescent="0.25">
      <c r="A55" s="5">
        <v>3</v>
      </c>
      <c r="B55" s="6" t="s">
        <v>49</v>
      </c>
      <c r="C55" s="151">
        <v>1</v>
      </c>
      <c r="D55" s="151">
        <v>0</v>
      </c>
      <c r="E55" s="152" t="s">
        <v>238</v>
      </c>
      <c r="F55" s="283">
        <v>1.2021440267562866</v>
      </c>
      <c r="G55" s="283"/>
      <c r="H55" s="283">
        <v>1.2021440267562866</v>
      </c>
      <c r="I55" s="283">
        <v>1.2021440267562866</v>
      </c>
      <c r="J55"/>
    </row>
    <row r="56" spans="1:10" ht="15" customHeight="1" x14ac:dyDescent="0.25">
      <c r="A56" s="5">
        <v>3</v>
      </c>
      <c r="B56" s="7" t="s">
        <v>50</v>
      </c>
      <c r="C56" s="151">
        <v>1</v>
      </c>
      <c r="D56" s="151">
        <v>0</v>
      </c>
      <c r="E56" s="152" t="s">
        <v>238</v>
      </c>
      <c r="F56" s="283">
        <v>1.030239462852478</v>
      </c>
      <c r="G56" s="283"/>
      <c r="H56" s="283">
        <v>1.030239462852478</v>
      </c>
      <c r="I56" s="283">
        <v>1.030239462852478</v>
      </c>
      <c r="J56"/>
    </row>
    <row r="57" spans="1:10" ht="15" customHeight="1" x14ac:dyDescent="0.25">
      <c r="A57" s="5">
        <v>2</v>
      </c>
      <c r="B57" s="7" t="s">
        <v>36</v>
      </c>
      <c r="C57" s="151">
        <v>0.95001095533370972</v>
      </c>
      <c r="D57" s="151">
        <v>4.9989037215709686E-2</v>
      </c>
      <c r="E57" s="152" t="s">
        <v>238</v>
      </c>
      <c r="F57" s="283">
        <v>0.96395248174667358</v>
      </c>
      <c r="G57" s="283">
        <v>0.85551685094833374</v>
      </c>
      <c r="H57" s="283">
        <v>0.90973466634750366</v>
      </c>
      <c r="I57" s="283">
        <v>0.96395248174667358</v>
      </c>
      <c r="J57"/>
    </row>
    <row r="58" spans="1:10" ht="15" customHeight="1" x14ac:dyDescent="0.25">
      <c r="A58" s="5">
        <v>2</v>
      </c>
      <c r="B58" s="6" t="s">
        <v>37</v>
      </c>
      <c r="C58" s="151">
        <v>0.73476791381835938</v>
      </c>
      <c r="D58" s="151">
        <v>0.26523211598396301</v>
      </c>
      <c r="E58" s="152" t="s">
        <v>238</v>
      </c>
      <c r="F58" s="283">
        <v>0.7699698805809021</v>
      </c>
      <c r="G58" s="283">
        <v>1.1410295963287354</v>
      </c>
      <c r="H58" s="283">
        <v>0.95549976825714111</v>
      </c>
      <c r="I58" s="283">
        <v>0.7699698805809021</v>
      </c>
      <c r="J58"/>
    </row>
    <row r="59" spans="1:10" ht="15" customHeight="1" x14ac:dyDescent="0.25">
      <c r="A59" s="5">
        <v>1</v>
      </c>
      <c r="B59" s="7" t="s">
        <v>18</v>
      </c>
      <c r="C59" s="151">
        <v>0.90429538488388062</v>
      </c>
      <c r="D59" s="151">
        <v>9.5704592764377594E-2</v>
      </c>
      <c r="E59" s="152" t="s">
        <v>238</v>
      </c>
      <c r="F59" s="283">
        <v>0.69043588638305664</v>
      </c>
      <c r="G59" s="283">
        <v>1.2006504535675049</v>
      </c>
      <c r="H59" s="283">
        <v>0.94554316997528076</v>
      </c>
      <c r="I59" s="283">
        <v>0.69043588638305664</v>
      </c>
      <c r="J59"/>
    </row>
    <row r="60" spans="1:10" ht="15" customHeight="1" x14ac:dyDescent="0.25">
      <c r="A60" s="5">
        <v>3</v>
      </c>
      <c r="B60" s="7" t="s">
        <v>51</v>
      </c>
      <c r="C60" s="151">
        <v>0.94912868738174438</v>
      </c>
      <c r="D60" s="151">
        <v>5.0871361047029495E-2</v>
      </c>
      <c r="E60" s="152" t="s">
        <v>238</v>
      </c>
      <c r="F60" s="283">
        <v>0.95116817951202393</v>
      </c>
      <c r="G60" s="283">
        <v>0.98528391122817993</v>
      </c>
      <c r="H60" s="283">
        <v>0.96822607517242432</v>
      </c>
      <c r="I60" s="283">
        <v>0.95116817951202393</v>
      </c>
      <c r="J60"/>
    </row>
    <row r="61" spans="1:10" ht="15" customHeight="1" x14ac:dyDescent="0.25">
      <c r="A61" s="5">
        <v>2</v>
      </c>
      <c r="B61" s="6" t="s">
        <v>38</v>
      </c>
      <c r="C61" s="151">
        <v>1</v>
      </c>
      <c r="D61" s="151">
        <v>0</v>
      </c>
      <c r="E61" s="152" t="s">
        <v>238</v>
      </c>
      <c r="F61" s="283">
        <v>0.80789661407470703</v>
      </c>
      <c r="G61" s="283"/>
      <c r="H61" s="283">
        <v>0.80789661407470703</v>
      </c>
      <c r="I61" s="283">
        <v>0.80789661407470703</v>
      </c>
      <c r="J61"/>
    </row>
    <row r="62" spans="1:10" ht="15" customHeight="1" x14ac:dyDescent="0.25">
      <c r="A62" s="5">
        <v>3</v>
      </c>
      <c r="B62" s="7" t="s">
        <v>52</v>
      </c>
      <c r="C62" s="151">
        <v>1</v>
      </c>
      <c r="D62" s="151">
        <v>0</v>
      </c>
      <c r="E62" s="152" t="s">
        <v>238</v>
      </c>
      <c r="F62" s="283">
        <v>1.2536715269088745</v>
      </c>
      <c r="G62" s="283"/>
      <c r="H62" s="283">
        <v>1.2536715269088745</v>
      </c>
      <c r="I62" s="283">
        <v>1.2536715269088745</v>
      </c>
      <c r="J62"/>
    </row>
    <row r="63" spans="1:10" ht="15" customHeight="1" x14ac:dyDescent="0.25">
      <c r="A63" s="5">
        <v>2</v>
      </c>
      <c r="B63" s="7" t="s">
        <v>39</v>
      </c>
      <c r="C63" s="151">
        <v>0.51983720064163208</v>
      </c>
      <c r="D63" s="151">
        <v>0.48016282916069031</v>
      </c>
      <c r="E63" s="152" t="s">
        <v>238</v>
      </c>
      <c r="F63" s="283">
        <v>1.1032428741455078</v>
      </c>
      <c r="G63" s="283">
        <v>1.544407844543457</v>
      </c>
      <c r="H63" s="283">
        <v>1.3238253593444824</v>
      </c>
      <c r="I63" s="283">
        <v>1.1032428741455078</v>
      </c>
      <c r="J63"/>
    </row>
    <row r="64" spans="1:10" ht="15" customHeight="1" x14ac:dyDescent="0.25">
      <c r="A64" s="5">
        <v>2</v>
      </c>
      <c r="B64" s="6" t="s">
        <v>40</v>
      </c>
      <c r="C64" s="151">
        <v>1</v>
      </c>
      <c r="D64" s="151">
        <v>0</v>
      </c>
      <c r="E64" s="152" t="s">
        <v>238</v>
      </c>
      <c r="F64" s="283">
        <v>0.95343595743179321</v>
      </c>
      <c r="G64" s="283"/>
      <c r="H64" s="283">
        <v>0.95343595743179321</v>
      </c>
      <c r="I64" s="283">
        <v>0.95343595743179321</v>
      </c>
      <c r="J64"/>
    </row>
    <row r="65" spans="2:9" x14ac:dyDescent="0.25">
      <c r="E65" s="156"/>
      <c r="I65" s="157"/>
    </row>
    <row r="66" spans="2:9" x14ac:dyDescent="0.25">
      <c r="B66" s="158" t="s">
        <v>229</v>
      </c>
      <c r="C66" s="256"/>
    </row>
    <row r="67" spans="2:9" ht="17.25" x14ac:dyDescent="0.25">
      <c r="B67" s="289" t="s">
        <v>245</v>
      </c>
    </row>
  </sheetData>
  <mergeCells count="3">
    <mergeCell ref="A5:A6"/>
    <mergeCell ref="B5:B6"/>
    <mergeCell ref="F4:H4"/>
  </mergeCells>
  <conditionalFormatting sqref="E5">
    <cfRule type="containsText" dxfId="2" priority="1" operator="containsText" text="Yes">
      <formula>NOT(ISERROR(SEARCH("Yes",E5)))</formula>
    </cfRule>
  </conditionalFormatting>
  <printOptions horizontalCentered="1"/>
  <pageMargins left="0.25" right="0.25" top="0.5" bottom="0.5" header="0.3" footer="0.3"/>
  <pageSetup scale="7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39997558519241921"/>
    <pageSetUpPr fitToPage="1"/>
  </sheetPr>
  <dimension ref="A1:T70"/>
  <sheetViews>
    <sheetView view="pageBreakPreview" zoomScaleNormal="85" zoomScaleSheetLayoutView="100" workbookViewId="0">
      <pane xSplit="1" ySplit="6" topLeftCell="B7" activePane="bottomRight" state="frozen"/>
      <selection pane="topRight" activeCell="B1" sqref="B1"/>
      <selection pane="bottomLeft" activeCell="A7" sqref="A7"/>
      <selection pane="bottomRight" activeCell="M52" sqref="M52"/>
    </sheetView>
  </sheetViews>
  <sheetFormatPr defaultColWidth="9.140625" defaultRowHeight="15" x14ac:dyDescent="0.25"/>
  <cols>
    <col min="1" max="1" width="15.85546875" style="105" customWidth="1"/>
    <col min="2" max="2" width="1.85546875" style="64" customWidth="1"/>
    <col min="3" max="3" width="11.140625" style="105" customWidth="1"/>
    <col min="4" max="4" width="9.85546875" style="105" customWidth="1"/>
    <col min="5" max="5" width="9.140625" style="105" bestFit="1" customWidth="1"/>
    <col min="6" max="6" width="8.5703125" style="105" bestFit="1" customWidth="1"/>
    <col min="7" max="7" width="10.140625" style="105" customWidth="1"/>
    <col min="8" max="8" width="9.140625" style="105" customWidth="1"/>
    <col min="9" max="9" width="10.85546875" style="105" bestFit="1" customWidth="1"/>
    <col min="10" max="10" width="11.85546875" style="105" customWidth="1"/>
    <col min="11" max="11" width="11.140625" style="105" customWidth="1"/>
    <col min="12" max="12" width="12.85546875" style="105" customWidth="1"/>
    <col min="13" max="13" width="12.5703125" style="109" customWidth="1"/>
    <col min="14" max="14" width="1.85546875" style="64" customWidth="1"/>
    <col min="15" max="16" width="12.85546875" style="105" customWidth="1"/>
    <col min="17" max="17" width="12.85546875" style="109" customWidth="1"/>
    <col min="18" max="18" width="1.85546875" style="64" customWidth="1"/>
    <col min="19" max="19" width="12.85546875" style="109" customWidth="1"/>
    <col min="20" max="20" width="16.42578125" style="105" customWidth="1"/>
    <col min="21" max="16384" width="9.140625" style="106"/>
  </cols>
  <sheetData>
    <row r="1" spans="1:20" ht="20.100000000000001" customHeight="1" x14ac:dyDescent="0.25">
      <c r="A1" s="49" t="s">
        <v>230</v>
      </c>
      <c r="B1" s="104"/>
      <c r="T1" s="106"/>
    </row>
    <row r="2" spans="1:20" ht="20.100000000000001" customHeight="1" x14ac:dyDescent="0.25">
      <c r="A2" s="50" t="s">
        <v>241</v>
      </c>
      <c r="B2" s="53"/>
      <c r="F2" s="107"/>
      <c r="G2" s="107"/>
      <c r="H2" s="107"/>
      <c r="I2" s="107"/>
      <c r="J2" s="107"/>
      <c r="K2" s="107"/>
      <c r="L2" s="107"/>
      <c r="M2" s="107"/>
      <c r="N2" s="53"/>
      <c r="O2" s="107"/>
      <c r="P2" s="107"/>
      <c r="Q2" s="107"/>
      <c r="R2" s="53"/>
      <c r="S2" s="107"/>
      <c r="T2" s="106"/>
    </row>
    <row r="3" spans="1:20" ht="20.100000000000001" customHeight="1" x14ac:dyDescent="0.25">
      <c r="A3" s="108"/>
      <c r="B3" s="53"/>
      <c r="N3" s="53"/>
      <c r="R3" s="53"/>
    </row>
    <row r="4" spans="1:20" ht="20.100000000000001" customHeight="1" x14ac:dyDescent="0.25">
      <c r="A4" s="80"/>
      <c r="B4" s="85"/>
      <c r="C4" s="327" t="s">
        <v>87</v>
      </c>
      <c r="D4" s="327"/>
      <c r="E4" s="327"/>
      <c r="F4" s="327"/>
      <c r="G4" s="327"/>
      <c r="H4" s="327"/>
      <c r="I4" s="327"/>
      <c r="J4" s="327"/>
      <c r="K4" s="327"/>
      <c r="L4" s="327"/>
      <c r="M4" s="327"/>
      <c r="N4" s="85"/>
      <c r="O4" s="325" t="s">
        <v>88</v>
      </c>
      <c r="P4" s="326"/>
      <c r="Q4" s="326"/>
      <c r="R4" s="85"/>
      <c r="S4" s="110"/>
      <c r="T4" s="111"/>
    </row>
    <row r="5" spans="1:20" s="113" customFormat="1" ht="75" x14ac:dyDescent="0.25">
      <c r="A5" s="328" t="s">
        <v>63</v>
      </c>
      <c r="B5" s="85"/>
      <c r="C5" s="119" t="s">
        <v>89</v>
      </c>
      <c r="D5" s="119" t="s">
        <v>90</v>
      </c>
      <c r="E5" s="119" t="s">
        <v>91</v>
      </c>
      <c r="F5" s="119" t="s">
        <v>161</v>
      </c>
      <c r="G5" s="119" t="s">
        <v>176</v>
      </c>
      <c r="H5" s="119" t="s">
        <v>92</v>
      </c>
      <c r="I5" s="119" t="s">
        <v>157</v>
      </c>
      <c r="J5" s="78" t="s">
        <v>162</v>
      </c>
      <c r="K5" s="78" t="s">
        <v>163</v>
      </c>
      <c r="L5" s="78" t="s">
        <v>164</v>
      </c>
      <c r="M5" s="79" t="s">
        <v>165</v>
      </c>
      <c r="N5" s="85"/>
      <c r="O5" s="77" t="s">
        <v>160</v>
      </c>
      <c r="P5" s="77" t="s">
        <v>167</v>
      </c>
      <c r="Q5" s="77" t="s">
        <v>166</v>
      </c>
      <c r="R5" s="85"/>
      <c r="S5" s="99" t="s">
        <v>237</v>
      </c>
      <c r="T5" s="112"/>
    </row>
    <row r="6" spans="1:20" s="113" customFormat="1" x14ac:dyDescent="0.25">
      <c r="A6" s="328"/>
      <c r="B6" s="86"/>
      <c r="C6" s="82" t="s">
        <v>65</v>
      </c>
      <c r="D6" s="82" t="s">
        <v>1</v>
      </c>
      <c r="E6" s="82" t="s">
        <v>66</v>
      </c>
      <c r="F6" s="82" t="s">
        <v>2</v>
      </c>
      <c r="G6" s="82" t="s">
        <v>3</v>
      </c>
      <c r="H6" s="82" t="s">
        <v>83</v>
      </c>
      <c r="I6" s="82" t="s">
        <v>110</v>
      </c>
      <c r="J6" s="82" t="s">
        <v>109</v>
      </c>
      <c r="K6" s="82" t="s">
        <v>84</v>
      </c>
      <c r="L6" s="82" t="s">
        <v>85</v>
      </c>
      <c r="M6" s="82" t="s">
        <v>111</v>
      </c>
      <c r="N6" s="86"/>
      <c r="O6" s="82" t="s">
        <v>112</v>
      </c>
      <c r="P6" s="82" t="s">
        <v>86</v>
      </c>
      <c r="Q6" s="82" t="s">
        <v>76</v>
      </c>
      <c r="R6" s="86"/>
      <c r="S6" s="82" t="s">
        <v>113</v>
      </c>
      <c r="T6" s="112"/>
    </row>
    <row r="7" spans="1:20" ht="20.100000000000001" customHeight="1" x14ac:dyDescent="0.25">
      <c r="A7" s="118" t="s">
        <v>53</v>
      </c>
      <c r="B7" s="85"/>
      <c r="C7" s="120">
        <v>37.338096618652344</v>
      </c>
      <c r="D7" s="120">
        <v>111.28216552734375</v>
      </c>
      <c r="E7" s="120">
        <v>121.37996673583984</v>
      </c>
      <c r="F7" s="120">
        <v>85.420570373535156</v>
      </c>
      <c r="G7" s="120">
        <v>44.941280364990234</v>
      </c>
      <c r="H7" s="120">
        <v>15.245196342468262</v>
      </c>
      <c r="I7" s="121">
        <v>415.60726928710938</v>
      </c>
      <c r="J7" s="120">
        <v>31.5</v>
      </c>
      <c r="K7" s="120">
        <v>10.5</v>
      </c>
      <c r="L7" s="120">
        <v>42.581645965576172</v>
      </c>
      <c r="M7" s="122">
        <v>459</v>
      </c>
      <c r="N7" s="85"/>
      <c r="O7" s="120">
        <v>71.500000000000014</v>
      </c>
      <c r="P7" s="120">
        <v>7.1</v>
      </c>
      <c r="Q7" s="126">
        <v>75</v>
      </c>
      <c r="R7" s="85"/>
      <c r="S7" s="128">
        <v>534</v>
      </c>
    </row>
    <row r="8" spans="1:20" ht="20.100000000000001" customHeight="1" x14ac:dyDescent="0.25">
      <c r="A8" s="118" t="s">
        <v>4</v>
      </c>
      <c r="B8" s="55"/>
      <c r="C8" s="120">
        <v>0.44908952713012695</v>
      </c>
      <c r="D8" s="120">
        <v>0.45616123080253601</v>
      </c>
      <c r="E8" s="120">
        <v>0.10102095454931259</v>
      </c>
      <c r="F8" s="120">
        <v>4.0485598146915436E-2</v>
      </c>
      <c r="G8" s="120">
        <v>8.7240718305110931E-2</v>
      </c>
      <c r="H8" s="120">
        <v>0.16360151767730713</v>
      </c>
      <c r="I8" s="121">
        <v>1.2975995540618896</v>
      </c>
      <c r="J8" s="120">
        <v>0</v>
      </c>
      <c r="K8" s="120">
        <v>7.2</v>
      </c>
      <c r="L8" s="120">
        <v>0.18022215366363525</v>
      </c>
      <c r="M8" s="122">
        <v>2</v>
      </c>
      <c r="N8" s="55"/>
      <c r="O8" s="120">
        <v>1.5</v>
      </c>
      <c r="P8" s="120">
        <v>3.8000000000000003</v>
      </c>
      <c r="Q8" s="126">
        <v>1</v>
      </c>
      <c r="R8" s="55"/>
      <c r="S8" s="128">
        <v>3</v>
      </c>
    </row>
    <row r="9" spans="1:20" ht="20.100000000000001" customHeight="1" x14ac:dyDescent="0.25">
      <c r="A9" s="118" t="s">
        <v>5</v>
      </c>
      <c r="B9" s="55"/>
      <c r="C9" s="120">
        <v>1.6102290153503418</v>
      </c>
      <c r="D9" s="120">
        <v>9.3479404449462891</v>
      </c>
      <c r="E9" s="120">
        <v>2.801307201385498</v>
      </c>
      <c r="F9" s="120">
        <v>3.4431905746459961</v>
      </c>
      <c r="G9" s="120">
        <v>2.1149845123291016</v>
      </c>
      <c r="H9" s="120">
        <v>0.83720952272415161</v>
      </c>
      <c r="I9" s="121">
        <v>20.154861450195313</v>
      </c>
      <c r="J9" s="120">
        <v>0</v>
      </c>
      <c r="K9" s="120">
        <v>7.2</v>
      </c>
      <c r="L9" s="120">
        <v>2.7992863655090332</v>
      </c>
      <c r="M9" s="122">
        <v>23</v>
      </c>
      <c r="N9" s="55"/>
      <c r="O9" s="120">
        <v>4.3899999999999997</v>
      </c>
      <c r="P9" s="120">
        <v>3.8000000000000003</v>
      </c>
      <c r="Q9" s="126">
        <v>8</v>
      </c>
      <c r="R9" s="55"/>
      <c r="S9" s="128">
        <v>31</v>
      </c>
    </row>
    <row r="10" spans="1:20" ht="20.100000000000001" customHeight="1" x14ac:dyDescent="0.25">
      <c r="A10" s="118" t="s">
        <v>19</v>
      </c>
      <c r="B10" s="55"/>
      <c r="C10" s="120">
        <v>6.7016820907592773</v>
      </c>
      <c r="D10" s="120">
        <v>38.268787384033203</v>
      </c>
      <c r="E10" s="120">
        <v>16.645528793334961</v>
      </c>
      <c r="F10" s="120">
        <v>17.85223388671875</v>
      </c>
      <c r="G10" s="120">
        <v>11.976799964904785</v>
      </c>
      <c r="H10" s="120">
        <v>4.7446293830871582</v>
      </c>
      <c r="I10" s="121">
        <v>96.189659118652344</v>
      </c>
      <c r="J10" s="120">
        <v>0.9</v>
      </c>
      <c r="K10" s="120">
        <v>8</v>
      </c>
      <c r="L10" s="120">
        <v>12.136207580566406</v>
      </c>
      <c r="M10" s="122">
        <v>109</v>
      </c>
      <c r="N10" s="55"/>
      <c r="O10" s="120">
        <v>17.459999999999997</v>
      </c>
      <c r="P10" s="120">
        <v>5.5</v>
      </c>
      <c r="Q10" s="126">
        <v>23</v>
      </c>
      <c r="R10" s="55"/>
      <c r="S10" s="128">
        <v>132</v>
      </c>
    </row>
    <row r="11" spans="1:20" ht="20.100000000000001" customHeight="1" x14ac:dyDescent="0.25">
      <c r="A11" s="118" t="s">
        <v>6</v>
      </c>
      <c r="B11" s="87"/>
      <c r="C11" s="120">
        <v>1.0490348339080811</v>
      </c>
      <c r="D11" s="120">
        <v>5.965479850769043</v>
      </c>
      <c r="E11" s="120">
        <v>2.9638330936431885</v>
      </c>
      <c r="F11" s="120">
        <v>3.8656656742095947</v>
      </c>
      <c r="G11" s="120">
        <v>2.4246048927307129</v>
      </c>
      <c r="H11" s="120">
        <v>1.3805724382400513</v>
      </c>
      <c r="I11" s="121">
        <v>17.649190902709961</v>
      </c>
      <c r="J11" s="120">
        <v>0.25</v>
      </c>
      <c r="K11" s="120">
        <v>7.2</v>
      </c>
      <c r="L11" s="120">
        <v>2.4859986305236816</v>
      </c>
      <c r="M11" s="122">
        <v>21</v>
      </c>
      <c r="N11" s="87"/>
      <c r="O11" s="120">
        <v>2.85</v>
      </c>
      <c r="P11" s="120">
        <v>3.8000000000000003</v>
      </c>
      <c r="Q11" s="126">
        <v>7</v>
      </c>
      <c r="R11" s="87"/>
      <c r="S11" s="128">
        <v>28</v>
      </c>
    </row>
    <row r="12" spans="1:20" ht="20.100000000000001" customHeight="1" x14ac:dyDescent="0.25">
      <c r="A12" s="118" t="s">
        <v>7</v>
      </c>
      <c r="B12" s="55"/>
      <c r="C12" s="120">
        <v>2.1492424011230469</v>
      </c>
      <c r="D12" s="120">
        <v>5.985567569732666</v>
      </c>
      <c r="E12" s="120">
        <v>0.93137937784194946</v>
      </c>
      <c r="F12" s="120">
        <v>1.4740004539489746</v>
      </c>
      <c r="G12" s="120">
        <v>0.77473670244216919</v>
      </c>
      <c r="H12" s="120">
        <v>0.71637272834777832</v>
      </c>
      <c r="I12" s="121">
        <v>12.031299591064453</v>
      </c>
      <c r="J12" s="120">
        <v>0</v>
      </c>
      <c r="K12" s="120">
        <v>7.2</v>
      </c>
      <c r="L12" s="120">
        <v>1.6710138320922852</v>
      </c>
      <c r="M12" s="122">
        <v>14</v>
      </c>
      <c r="N12" s="55"/>
      <c r="O12" s="120">
        <v>1</v>
      </c>
      <c r="P12" s="120">
        <v>3.8000000000000003</v>
      </c>
      <c r="Q12" s="126">
        <v>4</v>
      </c>
      <c r="R12" s="55"/>
      <c r="S12" s="128">
        <v>18</v>
      </c>
    </row>
    <row r="13" spans="1:20" ht="20.100000000000001" customHeight="1" x14ac:dyDescent="0.25">
      <c r="A13" s="118" t="s">
        <v>41</v>
      </c>
      <c r="B13" s="55"/>
      <c r="C13" s="120">
        <v>16.837484359741211</v>
      </c>
      <c r="D13" s="120">
        <v>71.658889770507813</v>
      </c>
      <c r="E13" s="120">
        <v>73.814407348632813</v>
      </c>
      <c r="F13" s="120">
        <v>64.973281860351563</v>
      </c>
      <c r="G13" s="120">
        <v>38.75225830078125</v>
      </c>
      <c r="H13" s="120">
        <v>16.733249664306641</v>
      </c>
      <c r="I13" s="121">
        <v>282.76956176757813</v>
      </c>
      <c r="J13" s="120">
        <v>11</v>
      </c>
      <c r="K13" s="120">
        <v>9.8000000000000007</v>
      </c>
      <c r="L13" s="120">
        <v>29.976486206054688</v>
      </c>
      <c r="M13" s="122">
        <v>313</v>
      </c>
      <c r="N13" s="55"/>
      <c r="O13" s="120">
        <v>18.150000000000002</v>
      </c>
      <c r="P13" s="120">
        <v>7.1000000000000005</v>
      </c>
      <c r="Q13" s="126">
        <v>47</v>
      </c>
      <c r="R13" s="55"/>
      <c r="S13" s="128">
        <v>360</v>
      </c>
    </row>
    <row r="14" spans="1:20" ht="20.100000000000001" customHeight="1" x14ac:dyDescent="0.25">
      <c r="A14" s="118" t="s">
        <v>8</v>
      </c>
      <c r="B14" s="55"/>
      <c r="C14" s="120">
        <v>1.8036240339279175</v>
      </c>
      <c r="D14" s="120">
        <v>7.528071403503418</v>
      </c>
      <c r="E14" s="120">
        <v>1.8276175260543823</v>
      </c>
      <c r="F14" s="120">
        <v>3.4582216739654541</v>
      </c>
      <c r="G14" s="120">
        <v>1.8349446058273315</v>
      </c>
      <c r="H14" s="120">
        <v>2.1903657913208008</v>
      </c>
      <c r="I14" s="121">
        <v>18.642845153808594</v>
      </c>
      <c r="J14" s="120">
        <v>0</v>
      </c>
      <c r="K14" s="120">
        <v>7.2</v>
      </c>
      <c r="L14" s="120">
        <v>2.5892839431762695</v>
      </c>
      <c r="M14" s="122">
        <v>22</v>
      </c>
      <c r="N14" s="55"/>
      <c r="O14" s="120">
        <v>3</v>
      </c>
      <c r="P14" s="120">
        <v>3.8000000000000003</v>
      </c>
      <c r="Q14" s="126">
        <v>7</v>
      </c>
      <c r="R14" s="55"/>
      <c r="S14" s="128">
        <v>29</v>
      </c>
    </row>
    <row r="15" spans="1:20" ht="20.100000000000001" customHeight="1" x14ac:dyDescent="0.25">
      <c r="A15" s="118" t="s">
        <v>20</v>
      </c>
      <c r="B15" s="55"/>
      <c r="C15" s="120">
        <v>4.9971785545349121</v>
      </c>
      <c r="D15" s="120">
        <v>16.518768310546875</v>
      </c>
      <c r="E15" s="120">
        <v>12.2493896484375</v>
      </c>
      <c r="F15" s="120">
        <v>12.827404022216797</v>
      </c>
      <c r="G15" s="120">
        <v>6.8340506553649902</v>
      </c>
      <c r="H15" s="120">
        <v>3.5913500785827637</v>
      </c>
      <c r="I15" s="121">
        <v>57.018142700195313</v>
      </c>
      <c r="J15" s="120">
        <v>0.2</v>
      </c>
      <c r="K15" s="120">
        <v>8</v>
      </c>
      <c r="L15" s="120">
        <v>7.1522679328918457</v>
      </c>
      <c r="M15" s="122">
        <v>65</v>
      </c>
      <c r="N15" s="55"/>
      <c r="O15" s="120">
        <v>2.64</v>
      </c>
      <c r="P15" s="120">
        <v>5.5</v>
      </c>
      <c r="Q15" s="126">
        <v>13</v>
      </c>
      <c r="R15" s="55"/>
      <c r="S15" s="128">
        <v>78</v>
      </c>
    </row>
    <row r="16" spans="1:20" ht="20.100000000000001" customHeight="1" x14ac:dyDescent="0.25">
      <c r="A16" s="118" t="s">
        <v>42</v>
      </c>
      <c r="B16" s="55"/>
      <c r="C16" s="120">
        <v>19.646472930908203</v>
      </c>
      <c r="D16" s="120">
        <v>171.21231079101563</v>
      </c>
      <c r="E16" s="120">
        <v>75.420829772949219</v>
      </c>
      <c r="F16" s="120">
        <v>84.559120178222656</v>
      </c>
      <c r="G16" s="120">
        <v>29.309591293334961</v>
      </c>
      <c r="H16" s="120">
        <v>27.578714370727539</v>
      </c>
      <c r="I16" s="121">
        <v>407.72705078125</v>
      </c>
      <c r="J16" s="120">
        <v>8.6000000000000014</v>
      </c>
      <c r="K16" s="120">
        <v>9.8000000000000007</v>
      </c>
      <c r="L16" s="120">
        <v>42.482353210449219</v>
      </c>
      <c r="M16" s="122">
        <v>451</v>
      </c>
      <c r="N16" s="55"/>
      <c r="O16" s="120">
        <v>19.75</v>
      </c>
      <c r="P16" s="120">
        <v>7.1000000000000005</v>
      </c>
      <c r="Q16" s="126">
        <v>67</v>
      </c>
      <c r="R16" s="55"/>
      <c r="S16" s="128">
        <v>518</v>
      </c>
    </row>
    <row r="17" spans="1:19" ht="20.100000000000001" customHeight="1" x14ac:dyDescent="0.25">
      <c r="A17" s="118" t="s">
        <v>9</v>
      </c>
      <c r="B17" s="87"/>
      <c r="C17" s="120">
        <v>1.6361434459686279</v>
      </c>
      <c r="D17" s="120">
        <v>6.722959041595459</v>
      </c>
      <c r="E17" s="120">
        <v>1.5724787712097168</v>
      </c>
      <c r="F17" s="120">
        <v>2.6097044944763184</v>
      </c>
      <c r="G17" s="120">
        <v>1.4757539033889771</v>
      </c>
      <c r="H17" s="120">
        <v>0.88309758901596069</v>
      </c>
      <c r="I17" s="121">
        <v>14.900136947631836</v>
      </c>
      <c r="J17" s="120">
        <v>0.5</v>
      </c>
      <c r="K17" s="120">
        <v>7.2</v>
      </c>
      <c r="L17" s="120">
        <v>2.1389079093933105</v>
      </c>
      <c r="M17" s="122">
        <v>18</v>
      </c>
      <c r="N17" s="87"/>
      <c r="O17" s="120">
        <v>4.5</v>
      </c>
      <c r="P17" s="120">
        <v>3.8000000000000003</v>
      </c>
      <c r="Q17" s="126">
        <v>6</v>
      </c>
      <c r="R17" s="87"/>
      <c r="S17" s="128">
        <v>24</v>
      </c>
    </row>
    <row r="18" spans="1:19" ht="20.100000000000001" customHeight="1" x14ac:dyDescent="0.25">
      <c r="A18" s="118" t="s">
        <v>21</v>
      </c>
      <c r="B18" s="55"/>
      <c r="C18" s="120">
        <v>5.3770079612731934</v>
      </c>
      <c r="D18" s="120">
        <v>26.168741226196289</v>
      </c>
      <c r="E18" s="120">
        <v>10.099552154541016</v>
      </c>
      <c r="F18" s="120">
        <v>12.083011627197266</v>
      </c>
      <c r="G18" s="120">
        <v>7.5759258270263672</v>
      </c>
      <c r="H18" s="120">
        <v>4.926213264465332</v>
      </c>
      <c r="I18" s="121">
        <v>66.230453491210938</v>
      </c>
      <c r="J18" s="120">
        <v>0.2</v>
      </c>
      <c r="K18" s="120">
        <v>8</v>
      </c>
      <c r="L18" s="120">
        <v>8.3038063049316406</v>
      </c>
      <c r="M18" s="122">
        <v>75</v>
      </c>
      <c r="N18" s="55"/>
      <c r="O18" s="120">
        <v>2.6</v>
      </c>
      <c r="P18" s="120">
        <v>5.5</v>
      </c>
      <c r="Q18" s="126">
        <v>15</v>
      </c>
      <c r="R18" s="55"/>
      <c r="S18" s="128">
        <v>90</v>
      </c>
    </row>
    <row r="19" spans="1:19" ht="20.100000000000001" customHeight="1" x14ac:dyDescent="0.25">
      <c r="A19" s="118" t="s">
        <v>22</v>
      </c>
      <c r="B19" s="55"/>
      <c r="C19" s="120">
        <v>13.02043628692627</v>
      </c>
      <c r="D19" s="120">
        <v>26.154455184936523</v>
      </c>
      <c r="E19" s="120">
        <v>9.1586990356445313</v>
      </c>
      <c r="F19" s="120">
        <v>16.161022186279297</v>
      </c>
      <c r="G19" s="120">
        <v>5.358332633972168</v>
      </c>
      <c r="H19" s="120">
        <v>5.2982277870178223</v>
      </c>
      <c r="I19" s="121">
        <v>75.151176452636719</v>
      </c>
      <c r="J19" s="120">
        <v>4.9999999999999956</v>
      </c>
      <c r="K19" s="120">
        <v>8</v>
      </c>
      <c r="L19" s="120">
        <v>10.01889705657959</v>
      </c>
      <c r="M19" s="122">
        <v>86</v>
      </c>
      <c r="N19" s="55"/>
      <c r="O19" s="120">
        <v>15.65</v>
      </c>
      <c r="P19" s="120">
        <v>5.5</v>
      </c>
      <c r="Q19" s="126">
        <v>19</v>
      </c>
      <c r="R19" s="55"/>
      <c r="S19" s="128">
        <v>105</v>
      </c>
    </row>
    <row r="20" spans="1:19" ht="20.100000000000001" customHeight="1" x14ac:dyDescent="0.25">
      <c r="A20" s="118" t="s">
        <v>10</v>
      </c>
      <c r="B20" s="55"/>
      <c r="C20" s="120">
        <v>3.4435172080993652</v>
      </c>
      <c r="D20" s="120">
        <v>5.3737845420837402</v>
      </c>
      <c r="E20" s="120">
        <v>1.0570303201675415</v>
      </c>
      <c r="F20" s="120">
        <v>1.7280285358428955</v>
      </c>
      <c r="G20" s="120">
        <v>0.90584653615951538</v>
      </c>
      <c r="H20" s="120">
        <v>0.423972487449646</v>
      </c>
      <c r="I20" s="121">
        <v>12.93217945098877</v>
      </c>
      <c r="J20" s="120">
        <v>0.25</v>
      </c>
      <c r="K20" s="120">
        <v>7.2</v>
      </c>
      <c r="L20" s="120">
        <v>1.8308582305908203</v>
      </c>
      <c r="M20" s="122">
        <v>15</v>
      </c>
      <c r="N20" s="55"/>
      <c r="O20" s="120">
        <v>4.6099999999999985</v>
      </c>
      <c r="P20" s="120">
        <v>3.8000000000000003</v>
      </c>
      <c r="Q20" s="126">
        <v>6</v>
      </c>
      <c r="R20" s="55"/>
      <c r="S20" s="128">
        <v>21</v>
      </c>
    </row>
    <row r="21" spans="1:19" ht="20.100000000000001" customHeight="1" x14ac:dyDescent="0.25">
      <c r="A21" s="118" t="s">
        <v>43</v>
      </c>
      <c r="B21" s="55"/>
      <c r="C21" s="120">
        <v>22.090341567993164</v>
      </c>
      <c r="D21" s="120">
        <v>188.0343017578125</v>
      </c>
      <c r="E21" s="120">
        <v>62.787952423095703</v>
      </c>
      <c r="F21" s="120">
        <v>82.10986328125</v>
      </c>
      <c r="G21" s="120">
        <v>32.684249877929688</v>
      </c>
      <c r="H21" s="120">
        <v>18.910161972045898</v>
      </c>
      <c r="I21" s="121">
        <v>406.61688232421875</v>
      </c>
      <c r="J21" s="120">
        <v>14</v>
      </c>
      <c r="K21" s="120">
        <v>9.8000000000000007</v>
      </c>
      <c r="L21" s="120">
        <v>42.920089721679688</v>
      </c>
      <c r="M21" s="122">
        <v>450</v>
      </c>
      <c r="N21" s="55"/>
      <c r="O21" s="120">
        <v>47</v>
      </c>
      <c r="P21" s="120">
        <v>7.1000000000000005</v>
      </c>
      <c r="Q21" s="126">
        <v>70</v>
      </c>
      <c r="R21" s="55"/>
      <c r="S21" s="128">
        <v>520</v>
      </c>
    </row>
    <row r="22" spans="1:19" ht="20.100000000000001" customHeight="1" x14ac:dyDescent="0.25">
      <c r="A22" s="118" t="s">
        <v>23</v>
      </c>
      <c r="B22" s="55"/>
      <c r="C22" s="120">
        <v>5.7430081367492676</v>
      </c>
      <c r="D22" s="120">
        <v>45.071872711181641</v>
      </c>
      <c r="E22" s="120">
        <v>7.9892683029174805</v>
      </c>
      <c r="F22" s="120">
        <v>15.247370719909668</v>
      </c>
      <c r="G22" s="120">
        <v>4.8407235145568848</v>
      </c>
      <c r="H22" s="120">
        <v>5.0680603981018066</v>
      </c>
      <c r="I22" s="121">
        <v>83.960304260253906</v>
      </c>
      <c r="J22" s="120">
        <v>1.6</v>
      </c>
      <c r="K22" s="120">
        <v>8</v>
      </c>
      <c r="L22" s="120">
        <v>10.695037841796875</v>
      </c>
      <c r="M22" s="122">
        <v>95</v>
      </c>
      <c r="N22" s="55"/>
      <c r="O22" s="120">
        <v>4.2</v>
      </c>
      <c r="P22" s="120">
        <v>5.5</v>
      </c>
      <c r="Q22" s="126">
        <v>19</v>
      </c>
      <c r="R22" s="55"/>
      <c r="S22" s="128">
        <v>114</v>
      </c>
    </row>
    <row r="23" spans="1:19" ht="20.100000000000001" customHeight="1" x14ac:dyDescent="0.25">
      <c r="A23" s="118" t="s">
        <v>24</v>
      </c>
      <c r="B23" s="55"/>
      <c r="C23" s="120">
        <v>1.9610366821289063</v>
      </c>
      <c r="D23" s="120">
        <v>18.528310775756836</v>
      </c>
      <c r="E23" s="120">
        <v>6.6300716400146484</v>
      </c>
      <c r="F23" s="120">
        <v>7.8656063079833984</v>
      </c>
      <c r="G23" s="120">
        <v>4.6334037780761719</v>
      </c>
      <c r="H23" s="120">
        <v>1.2939207553863525</v>
      </c>
      <c r="I23" s="121">
        <v>40.912349700927734</v>
      </c>
      <c r="J23" s="120">
        <v>0.25</v>
      </c>
      <c r="K23" s="120">
        <v>8</v>
      </c>
      <c r="L23" s="120">
        <v>5.1452937126159668</v>
      </c>
      <c r="M23" s="122">
        <v>47</v>
      </c>
      <c r="N23" s="55"/>
      <c r="O23" s="120">
        <v>1.9500000000000002</v>
      </c>
      <c r="P23" s="120">
        <v>5.5</v>
      </c>
      <c r="Q23" s="126">
        <v>9</v>
      </c>
      <c r="R23" s="55"/>
      <c r="S23" s="128">
        <v>56</v>
      </c>
    </row>
    <row r="24" spans="1:19" ht="20.100000000000001" customHeight="1" x14ac:dyDescent="0.25">
      <c r="A24" s="118" t="s">
        <v>11</v>
      </c>
      <c r="B24" s="55"/>
      <c r="C24" s="120">
        <v>2.1002035140991211</v>
      </c>
      <c r="D24" s="120">
        <v>5.9145693778991699</v>
      </c>
      <c r="E24" s="120">
        <v>1.4362971782684326</v>
      </c>
      <c r="F24" s="120">
        <v>2.8154988288879395</v>
      </c>
      <c r="G24" s="120">
        <v>1.1048799753189087</v>
      </c>
      <c r="H24" s="120">
        <v>1.0245856046676636</v>
      </c>
      <c r="I24" s="121">
        <v>14.396034240722656</v>
      </c>
      <c r="J24" s="120">
        <v>0</v>
      </c>
      <c r="K24" s="120">
        <v>7.2</v>
      </c>
      <c r="L24" s="120">
        <v>1.9994492530822754</v>
      </c>
      <c r="M24" s="122">
        <v>17</v>
      </c>
      <c r="N24" s="55"/>
      <c r="O24" s="120">
        <v>0</v>
      </c>
      <c r="P24" s="120">
        <v>3.8000000000000003</v>
      </c>
      <c r="Q24" s="126">
        <v>5</v>
      </c>
      <c r="R24" s="55"/>
      <c r="S24" s="128">
        <v>22</v>
      </c>
    </row>
    <row r="25" spans="1:19" ht="20.100000000000001" customHeight="1" x14ac:dyDescent="0.25">
      <c r="A25" s="118" t="s">
        <v>54</v>
      </c>
      <c r="B25" s="55"/>
      <c r="C25" s="120">
        <v>203.17678833007813</v>
      </c>
      <c r="D25" s="120">
        <v>981.96710205078125</v>
      </c>
      <c r="E25" s="120">
        <v>1104.760009765625</v>
      </c>
      <c r="F25" s="120">
        <v>708.08013916015625</v>
      </c>
      <c r="G25" s="120">
        <v>358.04327392578125</v>
      </c>
      <c r="H25" s="120">
        <v>310.88919067382813</v>
      </c>
      <c r="I25" s="121">
        <v>3666.91650390625</v>
      </c>
      <c r="J25" s="120">
        <v>261</v>
      </c>
      <c r="K25" s="120">
        <v>10.5</v>
      </c>
      <c r="L25" s="120">
        <v>374.08728027343699</v>
      </c>
      <c r="M25" s="122">
        <v>4042</v>
      </c>
      <c r="N25" s="55"/>
      <c r="O25" s="120">
        <v>457</v>
      </c>
      <c r="P25" s="120">
        <v>7.1</v>
      </c>
      <c r="Q25" s="126">
        <v>634</v>
      </c>
      <c r="R25" s="55"/>
      <c r="S25" s="128">
        <v>4676</v>
      </c>
    </row>
    <row r="26" spans="1:19" ht="20.100000000000001" customHeight="1" x14ac:dyDescent="0.25">
      <c r="A26" s="118" t="s">
        <v>25</v>
      </c>
      <c r="B26" s="55"/>
      <c r="C26" s="120">
        <v>6.9267716407775879</v>
      </c>
      <c r="D26" s="120">
        <v>34.306755065917969</v>
      </c>
      <c r="E26" s="120">
        <v>10.78668212890625</v>
      </c>
      <c r="F26" s="120">
        <v>19.944684982299805</v>
      </c>
      <c r="G26" s="120">
        <v>4.6380953788757324</v>
      </c>
      <c r="H26" s="120">
        <v>6.1670465469360352</v>
      </c>
      <c r="I26" s="121">
        <v>82.770034790039063</v>
      </c>
      <c r="J26" s="120">
        <v>4</v>
      </c>
      <c r="K26" s="120">
        <v>8</v>
      </c>
      <c r="L26" s="120">
        <v>10.846254348754883</v>
      </c>
      <c r="M26" s="122">
        <v>94</v>
      </c>
      <c r="N26" s="55"/>
      <c r="O26" s="120">
        <v>6.66</v>
      </c>
      <c r="P26" s="120">
        <v>5.5</v>
      </c>
      <c r="Q26" s="126">
        <v>19</v>
      </c>
      <c r="R26" s="55"/>
      <c r="S26" s="128">
        <v>113</v>
      </c>
    </row>
    <row r="27" spans="1:19" ht="20.100000000000001" customHeight="1" x14ac:dyDescent="0.25">
      <c r="A27" s="118" t="s">
        <v>26</v>
      </c>
      <c r="B27" s="55"/>
      <c r="C27" s="120">
        <v>11.389473915100098</v>
      </c>
      <c r="D27" s="120">
        <v>21.580921173095703</v>
      </c>
      <c r="E27" s="120">
        <v>16.040733337402344</v>
      </c>
      <c r="F27" s="120">
        <v>12.277650833129883</v>
      </c>
      <c r="G27" s="120">
        <v>11.432233810424805</v>
      </c>
      <c r="H27" s="120">
        <v>2.1640217304229736</v>
      </c>
      <c r="I27" s="121">
        <v>74.885032653808594</v>
      </c>
      <c r="J27" s="120">
        <v>5</v>
      </c>
      <c r="K27" s="120">
        <v>8</v>
      </c>
      <c r="L27" s="120">
        <v>9.9856290817260742</v>
      </c>
      <c r="M27" s="122">
        <v>85</v>
      </c>
      <c r="N27" s="55"/>
      <c r="O27" s="120">
        <v>6.8000000000000007</v>
      </c>
      <c r="P27" s="120">
        <v>5.5</v>
      </c>
      <c r="Q27" s="126">
        <v>17</v>
      </c>
      <c r="R27" s="55"/>
      <c r="S27" s="128">
        <v>102</v>
      </c>
    </row>
    <row r="28" spans="1:19" ht="20.100000000000001" customHeight="1" x14ac:dyDescent="0.25">
      <c r="A28" s="118" t="s">
        <v>12</v>
      </c>
      <c r="B28" s="55"/>
      <c r="C28" s="120">
        <v>0.86586105823516846</v>
      </c>
      <c r="D28" s="120">
        <v>5.1977038383483887</v>
      </c>
      <c r="E28" s="120">
        <v>0.70398086309432983</v>
      </c>
      <c r="F28" s="120">
        <v>1.2457842826843262</v>
      </c>
      <c r="G28" s="120">
        <v>0.84663468599319458</v>
      </c>
      <c r="H28" s="120">
        <v>0.36429864168167114</v>
      </c>
      <c r="I28" s="121">
        <v>9.2242631912231445</v>
      </c>
      <c r="J28" s="120">
        <v>0</v>
      </c>
      <c r="K28" s="120">
        <v>7.2</v>
      </c>
      <c r="L28" s="120">
        <v>1.2811477184295654</v>
      </c>
      <c r="M28" s="122">
        <v>11</v>
      </c>
      <c r="N28" s="55"/>
      <c r="O28" s="120">
        <v>3.3</v>
      </c>
      <c r="P28" s="120">
        <v>3.8000000000000003</v>
      </c>
      <c r="Q28" s="126">
        <v>4</v>
      </c>
      <c r="R28" s="55"/>
      <c r="S28" s="128">
        <v>15</v>
      </c>
    </row>
    <row r="29" spans="1:19" ht="20.100000000000001" customHeight="1" x14ac:dyDescent="0.25">
      <c r="A29" s="118" t="s">
        <v>27</v>
      </c>
      <c r="B29" s="55"/>
      <c r="C29" s="120">
        <v>4.3423376083374023</v>
      </c>
      <c r="D29" s="120">
        <v>20.888645172119141</v>
      </c>
      <c r="E29" s="120">
        <v>6.5357093811035156</v>
      </c>
      <c r="F29" s="120">
        <v>7.5857334136962891</v>
      </c>
      <c r="G29" s="120">
        <v>4.0878477096557617</v>
      </c>
      <c r="H29" s="120">
        <v>3.6194758415222168</v>
      </c>
      <c r="I29" s="121">
        <v>47.059749603271484</v>
      </c>
      <c r="J29" s="120">
        <v>0.8</v>
      </c>
      <c r="K29" s="120">
        <v>8</v>
      </c>
      <c r="L29" s="120">
        <v>5.9824686050415039</v>
      </c>
      <c r="M29" s="122">
        <v>54</v>
      </c>
      <c r="N29" s="55"/>
      <c r="O29" s="120">
        <v>3.2</v>
      </c>
      <c r="P29" s="120">
        <v>5.5</v>
      </c>
      <c r="Q29" s="126">
        <v>11</v>
      </c>
      <c r="R29" s="55"/>
      <c r="S29" s="128">
        <v>65</v>
      </c>
    </row>
    <row r="30" spans="1:19" ht="20.100000000000001" customHeight="1" x14ac:dyDescent="0.25">
      <c r="A30" s="118" t="s">
        <v>28</v>
      </c>
      <c r="B30" s="55"/>
      <c r="C30" s="120">
        <v>12.804326057434082</v>
      </c>
      <c r="D30" s="120">
        <v>43.282100677490234</v>
      </c>
      <c r="E30" s="120">
        <v>19.557119369506836</v>
      </c>
      <c r="F30" s="120">
        <v>24.679285049438477</v>
      </c>
      <c r="G30" s="120">
        <v>8.0271120071411133</v>
      </c>
      <c r="H30" s="120">
        <v>7.1752290725708008</v>
      </c>
      <c r="I30" s="121">
        <v>115.52516937255859</v>
      </c>
      <c r="J30" s="120">
        <v>3.25</v>
      </c>
      <c r="K30" s="120">
        <v>8</v>
      </c>
      <c r="L30" s="120">
        <v>14.846896171569824</v>
      </c>
      <c r="M30" s="122">
        <v>131</v>
      </c>
      <c r="N30" s="55"/>
      <c r="O30" s="120">
        <v>11.25</v>
      </c>
      <c r="P30" s="120">
        <v>5.5</v>
      </c>
      <c r="Q30" s="126">
        <v>26</v>
      </c>
      <c r="R30" s="55"/>
      <c r="S30" s="128">
        <v>157</v>
      </c>
    </row>
    <row r="31" spans="1:19" ht="20.100000000000001" customHeight="1" x14ac:dyDescent="0.25">
      <c r="A31" s="118" t="s">
        <v>13</v>
      </c>
      <c r="B31" s="55"/>
      <c r="C31" s="120">
        <v>0.47739216685295105</v>
      </c>
      <c r="D31" s="120">
        <v>3.0029041767120361</v>
      </c>
      <c r="E31" s="120">
        <v>0.62487518787384033</v>
      </c>
      <c r="F31" s="120">
        <v>1.2223962545394897</v>
      </c>
      <c r="G31" s="120">
        <v>0.69054305553436279</v>
      </c>
      <c r="H31" s="120">
        <v>0.46272078156471252</v>
      </c>
      <c r="I31" s="121">
        <v>6.4808316230773926</v>
      </c>
      <c r="J31" s="120">
        <v>0</v>
      </c>
      <c r="K31" s="120">
        <v>7.2</v>
      </c>
      <c r="L31" s="120">
        <v>0.9001154899597168</v>
      </c>
      <c r="M31" s="122">
        <v>8</v>
      </c>
      <c r="N31" s="55"/>
      <c r="O31" s="120">
        <v>2</v>
      </c>
      <c r="P31" s="120">
        <v>3.8000000000000003</v>
      </c>
      <c r="Q31" s="126">
        <v>3</v>
      </c>
      <c r="R31" s="55"/>
      <c r="S31" s="128">
        <v>11</v>
      </c>
    </row>
    <row r="32" spans="1:19" ht="20.100000000000001" customHeight="1" x14ac:dyDescent="0.25">
      <c r="A32" s="118" t="s">
        <v>14</v>
      </c>
      <c r="B32" s="55"/>
      <c r="C32" s="120">
        <v>2.7673575878143311</v>
      </c>
      <c r="D32" s="120">
        <v>4.0110020637512207</v>
      </c>
      <c r="E32" s="120">
        <v>0.78671944141387939</v>
      </c>
      <c r="F32" s="120">
        <v>0.80593901872634888</v>
      </c>
      <c r="G32" s="120">
        <v>0.28517812490463257</v>
      </c>
      <c r="H32" s="120">
        <v>0.23842303454875946</v>
      </c>
      <c r="I32" s="121">
        <v>8.8946189880371094</v>
      </c>
      <c r="J32" s="120">
        <v>0.65</v>
      </c>
      <c r="K32" s="120">
        <v>7.2</v>
      </c>
      <c r="L32" s="120">
        <v>1.3256415128707886</v>
      </c>
      <c r="M32" s="122">
        <v>11</v>
      </c>
      <c r="N32" s="55"/>
      <c r="O32" s="120">
        <v>1.65</v>
      </c>
      <c r="P32" s="120">
        <v>3.8000000000000003</v>
      </c>
      <c r="Q32" s="126">
        <v>4</v>
      </c>
      <c r="R32" s="55"/>
      <c r="S32" s="128">
        <v>15</v>
      </c>
    </row>
    <row r="33" spans="1:19" ht="20.100000000000001" customHeight="1" x14ac:dyDescent="0.25">
      <c r="A33" s="118" t="s">
        <v>44</v>
      </c>
      <c r="B33" s="55"/>
      <c r="C33" s="120">
        <v>14.061843872070313</v>
      </c>
      <c r="D33" s="120">
        <v>71.799942016601563</v>
      </c>
      <c r="E33" s="120">
        <v>25.969438552856445</v>
      </c>
      <c r="F33" s="120">
        <v>27.780990600585938</v>
      </c>
      <c r="G33" s="120">
        <v>13.160381317138672</v>
      </c>
      <c r="H33" s="120">
        <v>7.6393451690673828</v>
      </c>
      <c r="I33" s="121">
        <v>160.41194152832031</v>
      </c>
      <c r="J33" s="120">
        <v>12.5</v>
      </c>
      <c r="K33" s="120">
        <v>9.8000000000000007</v>
      </c>
      <c r="L33" s="120">
        <v>17.644075393676758</v>
      </c>
      <c r="M33" s="122">
        <v>179</v>
      </c>
      <c r="N33" s="55"/>
      <c r="O33" s="120">
        <v>17.200000000000003</v>
      </c>
      <c r="P33" s="120">
        <v>7.1000000000000005</v>
      </c>
      <c r="Q33" s="126">
        <v>28</v>
      </c>
      <c r="R33" s="55"/>
      <c r="S33" s="128">
        <v>207</v>
      </c>
    </row>
    <row r="34" spans="1:19" ht="20.100000000000001" customHeight="1" x14ac:dyDescent="0.25">
      <c r="A34" s="118" t="s">
        <v>29</v>
      </c>
      <c r="B34" s="55"/>
      <c r="C34" s="120">
        <v>3.3331191539764404</v>
      </c>
      <c r="D34" s="120">
        <v>18.677059173583984</v>
      </c>
      <c r="E34" s="120">
        <v>9.4815120697021484</v>
      </c>
      <c r="F34" s="120">
        <v>9.6202640533447266</v>
      </c>
      <c r="G34" s="120">
        <v>6.3463025093078613</v>
      </c>
      <c r="H34" s="120">
        <v>2.9723563194274902</v>
      </c>
      <c r="I34" s="121">
        <v>50.430614471435547</v>
      </c>
      <c r="J34" s="120">
        <v>2</v>
      </c>
      <c r="K34" s="120">
        <v>8</v>
      </c>
      <c r="L34" s="120">
        <v>6.5538268089294434</v>
      </c>
      <c r="M34" s="122">
        <v>57</v>
      </c>
      <c r="N34" s="55"/>
      <c r="O34" s="120">
        <v>3.5</v>
      </c>
      <c r="P34" s="120">
        <v>5.5</v>
      </c>
      <c r="Q34" s="126">
        <v>11</v>
      </c>
      <c r="R34" s="55"/>
      <c r="S34" s="128">
        <v>68</v>
      </c>
    </row>
    <row r="35" spans="1:19" ht="20.100000000000001" customHeight="1" x14ac:dyDescent="0.25">
      <c r="A35" s="118" t="s">
        <v>30</v>
      </c>
      <c r="B35" s="55"/>
      <c r="C35" s="120">
        <v>3.6903114318847656</v>
      </c>
      <c r="D35" s="120">
        <v>12.70759105682373</v>
      </c>
      <c r="E35" s="120">
        <v>6.9105987548828125</v>
      </c>
      <c r="F35" s="120">
        <v>8.6048069000244141</v>
      </c>
      <c r="G35" s="120">
        <v>4.3893661499023438</v>
      </c>
      <c r="H35" s="120">
        <v>1.2828266620635986</v>
      </c>
      <c r="I35" s="121">
        <v>37.585502624511719</v>
      </c>
      <c r="J35" s="120">
        <v>0</v>
      </c>
      <c r="K35" s="120">
        <v>8</v>
      </c>
      <c r="L35" s="120">
        <v>4.6981878280639648</v>
      </c>
      <c r="M35" s="122">
        <v>43</v>
      </c>
      <c r="N35" s="55"/>
      <c r="O35" s="120">
        <v>8.2399999999999984</v>
      </c>
      <c r="P35" s="120">
        <v>5.5</v>
      </c>
      <c r="Q35" s="126">
        <v>10</v>
      </c>
      <c r="R35" s="55"/>
      <c r="S35" s="128">
        <v>53</v>
      </c>
    </row>
    <row r="36" spans="1:19" ht="20.100000000000001" customHeight="1" x14ac:dyDescent="0.25">
      <c r="A36" s="118" t="s">
        <v>55</v>
      </c>
      <c r="B36" s="55"/>
      <c r="C36" s="120">
        <v>57.79656982421875</v>
      </c>
      <c r="D36" s="120">
        <v>425.39251708984375</v>
      </c>
      <c r="E36" s="120">
        <v>262.46807861328125</v>
      </c>
      <c r="F36" s="120">
        <v>186.62110900878906</v>
      </c>
      <c r="G36" s="120">
        <v>83.8614501953125</v>
      </c>
      <c r="H36" s="120">
        <v>42.612049102783203</v>
      </c>
      <c r="I36" s="121">
        <v>1058.7518310546875</v>
      </c>
      <c r="J36" s="120">
        <v>63.037500000000009</v>
      </c>
      <c r="K36" s="120">
        <v>10.5</v>
      </c>
      <c r="L36" s="120">
        <v>106.83708190917969</v>
      </c>
      <c r="M36" s="122">
        <v>1166</v>
      </c>
      <c r="N36" s="55"/>
      <c r="O36" s="120">
        <v>164.93749999999997</v>
      </c>
      <c r="P36" s="120">
        <v>7.1</v>
      </c>
      <c r="Q36" s="126">
        <v>188</v>
      </c>
      <c r="R36" s="55"/>
      <c r="S36" s="128">
        <v>1354</v>
      </c>
    </row>
    <row r="37" spans="1:19" ht="20.100000000000001" customHeight="1" x14ac:dyDescent="0.25">
      <c r="A37" s="118" t="s">
        <v>31</v>
      </c>
      <c r="B37" s="55"/>
      <c r="C37" s="120">
        <v>9.9644012451171875</v>
      </c>
      <c r="D37" s="120">
        <v>47.094871520996094</v>
      </c>
      <c r="E37" s="120">
        <v>28.29583740234375</v>
      </c>
      <c r="F37" s="120">
        <v>25.710775375366211</v>
      </c>
      <c r="G37" s="120">
        <v>12.206392288208008</v>
      </c>
      <c r="H37" s="120">
        <v>4.9220032691955566</v>
      </c>
      <c r="I37" s="121">
        <v>128.19427490234375</v>
      </c>
      <c r="J37" s="120">
        <v>2.5</v>
      </c>
      <c r="K37" s="120">
        <v>8</v>
      </c>
      <c r="L37" s="120">
        <v>16.336784362792969</v>
      </c>
      <c r="M37" s="122">
        <v>145</v>
      </c>
      <c r="N37" s="55"/>
      <c r="O37" s="120">
        <v>8.5</v>
      </c>
      <c r="P37" s="120">
        <v>5.5</v>
      </c>
      <c r="Q37" s="126">
        <v>28</v>
      </c>
      <c r="R37" s="55"/>
      <c r="S37" s="128">
        <v>173</v>
      </c>
    </row>
    <row r="38" spans="1:19" ht="20.100000000000001" customHeight="1" x14ac:dyDescent="0.25">
      <c r="A38" s="118" t="s">
        <v>15</v>
      </c>
      <c r="B38" s="55"/>
      <c r="C38" s="120">
        <v>0.96567338705062866</v>
      </c>
      <c r="D38" s="120">
        <v>3.2015953063964844</v>
      </c>
      <c r="E38" s="120">
        <v>1.2055268287658691</v>
      </c>
      <c r="F38" s="120">
        <v>1.9609113931655884</v>
      </c>
      <c r="G38" s="120">
        <v>1.3579045534133911</v>
      </c>
      <c r="H38" s="120">
        <v>0.7384408712387085</v>
      </c>
      <c r="I38" s="121">
        <v>9.4300527572631836</v>
      </c>
      <c r="J38" s="120">
        <v>0.05</v>
      </c>
      <c r="K38" s="120">
        <v>7.2</v>
      </c>
      <c r="L38" s="120">
        <v>1.3166739940643311</v>
      </c>
      <c r="M38" s="122">
        <v>11</v>
      </c>
      <c r="N38" s="55"/>
      <c r="O38" s="120">
        <v>1.05</v>
      </c>
      <c r="P38" s="120">
        <v>3.8000000000000003</v>
      </c>
      <c r="Q38" s="126">
        <v>4</v>
      </c>
      <c r="R38" s="55"/>
      <c r="S38" s="128">
        <v>15</v>
      </c>
    </row>
    <row r="39" spans="1:19" ht="20.100000000000001" customHeight="1" x14ac:dyDescent="0.25">
      <c r="A39" s="118" t="s">
        <v>56</v>
      </c>
      <c r="B39" s="55"/>
      <c r="C39" s="120">
        <v>44.812259674072266</v>
      </c>
      <c r="D39" s="120">
        <v>270.09539794921875</v>
      </c>
      <c r="E39" s="120">
        <v>186.56034851074219</v>
      </c>
      <c r="F39" s="120">
        <v>183.61497497558594</v>
      </c>
      <c r="G39" s="120">
        <v>76.944229125976563</v>
      </c>
      <c r="H39" s="120">
        <v>50.252071380615234</v>
      </c>
      <c r="I39" s="121">
        <v>812.279296875</v>
      </c>
      <c r="J39" s="120">
        <v>38.880000000000003</v>
      </c>
      <c r="K39" s="120">
        <v>10.5</v>
      </c>
      <c r="L39" s="120">
        <v>81.062789916992188</v>
      </c>
      <c r="M39" s="122">
        <v>894</v>
      </c>
      <c r="N39" s="55"/>
      <c r="O39" s="120">
        <v>120.88000000000001</v>
      </c>
      <c r="P39" s="120">
        <v>7.1</v>
      </c>
      <c r="Q39" s="126">
        <v>143</v>
      </c>
      <c r="R39" s="55"/>
      <c r="S39" s="128">
        <v>1037</v>
      </c>
    </row>
    <row r="40" spans="1:19" ht="20.100000000000001" customHeight="1" x14ac:dyDescent="0.25">
      <c r="A40" s="118" t="s">
        <v>57</v>
      </c>
      <c r="B40" s="55"/>
      <c r="C40" s="120">
        <v>29.802478790283203</v>
      </c>
      <c r="D40" s="120">
        <v>196.92123413085938</v>
      </c>
      <c r="E40" s="120">
        <v>132.08714294433594</v>
      </c>
      <c r="F40" s="120">
        <v>118.91262817382813</v>
      </c>
      <c r="G40" s="120">
        <v>56.715339660644531</v>
      </c>
      <c r="H40" s="120">
        <v>20.821220397949219</v>
      </c>
      <c r="I40" s="121">
        <v>555.26007080078125</v>
      </c>
      <c r="J40" s="120">
        <v>29.8</v>
      </c>
      <c r="K40" s="120">
        <v>10.5</v>
      </c>
      <c r="L40" s="120">
        <v>55.720005035400391</v>
      </c>
      <c r="M40" s="122">
        <v>611</v>
      </c>
      <c r="N40" s="55"/>
      <c r="O40" s="120">
        <v>64.81</v>
      </c>
      <c r="P40" s="120">
        <v>7.1</v>
      </c>
      <c r="Q40" s="126">
        <v>96</v>
      </c>
      <c r="R40" s="55"/>
      <c r="S40" s="128">
        <v>707</v>
      </c>
    </row>
    <row r="41" spans="1:19" ht="20.100000000000001" customHeight="1" x14ac:dyDescent="0.25">
      <c r="A41" s="118" t="s">
        <v>16</v>
      </c>
      <c r="B41" s="55"/>
      <c r="C41" s="120">
        <v>1.2140995264053345</v>
      </c>
      <c r="D41" s="120">
        <v>8.7048015594482422</v>
      </c>
      <c r="E41" s="120">
        <v>3.7932870388031006</v>
      </c>
      <c r="F41" s="120">
        <v>4.7804069519042969</v>
      </c>
      <c r="G41" s="120">
        <v>1.8664110898971558</v>
      </c>
      <c r="H41" s="120">
        <v>0.92222905158996582</v>
      </c>
      <c r="I41" s="121">
        <v>21.281234741210938</v>
      </c>
      <c r="J41" s="120">
        <v>0</v>
      </c>
      <c r="K41" s="120">
        <v>7.2</v>
      </c>
      <c r="L41" s="120">
        <v>2.9557271003723145</v>
      </c>
      <c r="M41" s="122">
        <v>25</v>
      </c>
      <c r="N41" s="55"/>
      <c r="O41" s="120">
        <v>1.5</v>
      </c>
      <c r="P41" s="120">
        <v>3.8000000000000003</v>
      </c>
      <c r="Q41" s="126">
        <v>7</v>
      </c>
      <c r="R41" s="55"/>
      <c r="S41" s="128">
        <v>32</v>
      </c>
    </row>
    <row r="42" spans="1:19" ht="20.100000000000001" customHeight="1" x14ac:dyDescent="0.25">
      <c r="A42" s="118" t="s">
        <v>58</v>
      </c>
      <c r="B42" s="55"/>
      <c r="C42" s="120">
        <v>30.439922332763672</v>
      </c>
      <c r="D42" s="120">
        <v>370.27597045898438</v>
      </c>
      <c r="E42" s="120">
        <v>189.11573791503906</v>
      </c>
      <c r="F42" s="120">
        <v>201.33993530273438</v>
      </c>
      <c r="G42" s="120">
        <v>72.269706726074219</v>
      </c>
      <c r="H42" s="120">
        <v>65.720222473144531</v>
      </c>
      <c r="I42" s="121">
        <v>929.1614990234375</v>
      </c>
      <c r="J42" s="120">
        <v>42.2</v>
      </c>
      <c r="K42" s="120">
        <v>10.5</v>
      </c>
      <c r="L42" s="120">
        <v>92.5106201171875</v>
      </c>
      <c r="M42" s="122">
        <v>1022</v>
      </c>
      <c r="N42" s="55"/>
      <c r="O42" s="120">
        <v>88.36</v>
      </c>
      <c r="P42" s="120">
        <v>7.1</v>
      </c>
      <c r="Q42" s="126">
        <v>157</v>
      </c>
      <c r="R42" s="55"/>
      <c r="S42" s="128">
        <v>1179</v>
      </c>
    </row>
    <row r="43" spans="1:19" ht="20.100000000000001" customHeight="1" x14ac:dyDescent="0.25">
      <c r="A43" s="118" t="s">
        <v>59</v>
      </c>
      <c r="B43" s="55"/>
      <c r="C43" s="120">
        <v>59.284511566162109</v>
      </c>
      <c r="D43" s="120">
        <v>297.0517578125</v>
      </c>
      <c r="E43" s="120">
        <v>253.99873352050781</v>
      </c>
      <c r="F43" s="120">
        <v>222.2784423828125</v>
      </c>
      <c r="G43" s="120">
        <v>75.538642883300781</v>
      </c>
      <c r="H43" s="120">
        <v>30.967391967773438</v>
      </c>
      <c r="I43" s="121">
        <v>939.1195068359375</v>
      </c>
      <c r="J43" s="120">
        <v>35.799999999999997</v>
      </c>
      <c r="K43" s="120">
        <v>10.5</v>
      </c>
      <c r="L43" s="120">
        <v>92.849479675292969</v>
      </c>
      <c r="M43" s="122">
        <v>1032</v>
      </c>
      <c r="N43" s="55"/>
      <c r="O43" s="120">
        <v>94.934999999999974</v>
      </c>
      <c r="P43" s="120">
        <v>7.1</v>
      </c>
      <c r="Q43" s="126">
        <v>159</v>
      </c>
      <c r="R43" s="55"/>
      <c r="S43" s="128">
        <v>1191</v>
      </c>
    </row>
    <row r="44" spans="1:19" ht="20.100000000000001" customHeight="1" x14ac:dyDescent="0.25">
      <c r="A44" s="118" t="s">
        <v>60</v>
      </c>
      <c r="B44" s="55"/>
      <c r="C44" s="120">
        <v>12.273902893066406</v>
      </c>
      <c r="D44" s="120">
        <v>64.043525695800781</v>
      </c>
      <c r="E44" s="120">
        <v>84.013755798339844</v>
      </c>
      <c r="F44" s="120">
        <v>36.882564544677734</v>
      </c>
      <c r="G44" s="120">
        <v>27.642702102661133</v>
      </c>
      <c r="H44" s="120">
        <v>11.641623497009277</v>
      </c>
      <c r="I44" s="121">
        <v>236.49807739257813</v>
      </c>
      <c r="J44" s="120">
        <v>22.5</v>
      </c>
      <c r="K44" s="120">
        <v>9.8000000000000007</v>
      </c>
      <c r="L44" s="120">
        <v>26.428375244140625</v>
      </c>
      <c r="M44" s="122">
        <v>263</v>
      </c>
      <c r="N44" s="55"/>
      <c r="O44" s="120">
        <v>32.5</v>
      </c>
      <c r="P44" s="120">
        <v>7.1000000000000005</v>
      </c>
      <c r="Q44" s="126">
        <v>42</v>
      </c>
      <c r="R44" s="55"/>
      <c r="S44" s="128">
        <v>305</v>
      </c>
    </row>
    <row r="45" spans="1:19" ht="20.100000000000001" customHeight="1" x14ac:dyDescent="0.25">
      <c r="A45" s="118" t="s">
        <v>45</v>
      </c>
      <c r="B45" s="55"/>
      <c r="C45" s="120">
        <v>24.849767684936523</v>
      </c>
      <c r="D45" s="120">
        <v>128.82559204101563</v>
      </c>
      <c r="E45" s="120">
        <v>55.221992492675781</v>
      </c>
      <c r="F45" s="120">
        <v>55.467521667480469</v>
      </c>
      <c r="G45" s="120">
        <v>26.674995422363281</v>
      </c>
      <c r="H45" s="120">
        <v>16.430055618286133</v>
      </c>
      <c r="I45" s="121">
        <v>307.46990966796875</v>
      </c>
      <c r="J45" s="120">
        <v>8</v>
      </c>
      <c r="K45" s="120">
        <v>9.8000000000000007</v>
      </c>
      <c r="L45" s="120">
        <v>32.190807342529297</v>
      </c>
      <c r="M45" s="122">
        <v>340</v>
      </c>
      <c r="N45" s="55"/>
      <c r="O45" s="120">
        <v>15.160000000000002</v>
      </c>
      <c r="P45" s="120">
        <v>7.1000000000000005</v>
      </c>
      <c r="Q45" s="126">
        <v>51</v>
      </c>
      <c r="R45" s="55"/>
      <c r="S45" s="128">
        <v>391</v>
      </c>
    </row>
    <row r="46" spans="1:19" ht="20.100000000000001" customHeight="1" x14ac:dyDescent="0.25">
      <c r="A46" s="118" t="s">
        <v>32</v>
      </c>
      <c r="B46" s="55"/>
      <c r="C46" s="120">
        <v>11.696085929870605</v>
      </c>
      <c r="D46" s="120">
        <v>49.390945434570313</v>
      </c>
      <c r="E46" s="120">
        <v>15.002392768859863</v>
      </c>
      <c r="F46" s="120">
        <v>14.953391075134277</v>
      </c>
      <c r="G46" s="120">
        <v>11.681861877441406</v>
      </c>
      <c r="H46" s="120">
        <v>4.4762387275695801</v>
      </c>
      <c r="I46" s="121">
        <v>107.20091247558594</v>
      </c>
      <c r="J46" s="120">
        <v>4</v>
      </c>
      <c r="K46" s="120">
        <v>8</v>
      </c>
      <c r="L46" s="120">
        <v>13.900114059448242</v>
      </c>
      <c r="M46" s="122">
        <v>122</v>
      </c>
      <c r="N46" s="55"/>
      <c r="O46" s="120">
        <v>7</v>
      </c>
      <c r="P46" s="120">
        <v>5.5</v>
      </c>
      <c r="Q46" s="126">
        <v>24</v>
      </c>
      <c r="R46" s="55"/>
      <c r="S46" s="128">
        <v>146</v>
      </c>
    </row>
    <row r="47" spans="1:19" ht="20.100000000000001" customHeight="1" x14ac:dyDescent="0.25">
      <c r="A47" s="118" t="s">
        <v>46</v>
      </c>
      <c r="B47" s="55"/>
      <c r="C47" s="120">
        <v>22.363910675048828</v>
      </c>
      <c r="D47" s="120">
        <v>73.900749206542969</v>
      </c>
      <c r="E47" s="120">
        <v>38.966552734375</v>
      </c>
      <c r="F47" s="120">
        <v>31.724296569824219</v>
      </c>
      <c r="G47" s="120">
        <v>34.006847381591797</v>
      </c>
      <c r="H47" s="120">
        <v>7.2874851226806641</v>
      </c>
      <c r="I47" s="121">
        <v>208.24984741210938</v>
      </c>
      <c r="J47" s="120">
        <v>10</v>
      </c>
      <c r="K47" s="120">
        <v>9.8000000000000007</v>
      </c>
      <c r="L47" s="120">
        <v>22.270393371582031</v>
      </c>
      <c r="M47" s="122">
        <v>231</v>
      </c>
      <c r="N47" s="55"/>
      <c r="O47" s="120">
        <v>17.5</v>
      </c>
      <c r="P47" s="120">
        <v>7.1000000000000005</v>
      </c>
      <c r="Q47" s="126">
        <v>35</v>
      </c>
      <c r="R47" s="55"/>
      <c r="S47" s="128">
        <v>266</v>
      </c>
    </row>
    <row r="48" spans="1:19" ht="20.100000000000001" customHeight="1" x14ac:dyDescent="0.25">
      <c r="A48" s="118" t="s">
        <v>47</v>
      </c>
      <c r="B48" s="55"/>
      <c r="C48" s="120">
        <v>16.905067443847656</v>
      </c>
      <c r="D48" s="120">
        <v>64.888641357421875</v>
      </c>
      <c r="E48" s="120">
        <v>24.407001495361328</v>
      </c>
      <c r="F48" s="120">
        <v>22.460603713989258</v>
      </c>
      <c r="G48" s="120">
        <v>14.092318534851074</v>
      </c>
      <c r="H48" s="120">
        <v>10.030515670776367</v>
      </c>
      <c r="I48" s="121">
        <v>152.78414916992188</v>
      </c>
      <c r="J48" s="120">
        <v>12.25</v>
      </c>
      <c r="K48" s="120">
        <v>9.8000000000000007</v>
      </c>
      <c r="L48" s="120">
        <v>16.840219497680664</v>
      </c>
      <c r="M48" s="122">
        <v>170</v>
      </c>
      <c r="N48" s="55"/>
      <c r="O48" s="120">
        <v>20.75</v>
      </c>
      <c r="P48" s="120">
        <v>7.1000000000000005</v>
      </c>
      <c r="Q48" s="126">
        <v>27</v>
      </c>
      <c r="R48" s="55"/>
      <c r="S48" s="128">
        <v>197</v>
      </c>
    </row>
    <row r="49" spans="1:19" ht="20.100000000000001" customHeight="1" x14ac:dyDescent="0.25">
      <c r="A49" s="118" t="s">
        <v>61</v>
      </c>
      <c r="B49" s="55"/>
      <c r="C49" s="120">
        <v>23.620437622070313</v>
      </c>
      <c r="D49" s="120">
        <v>179.60678100585938</v>
      </c>
      <c r="E49" s="120">
        <v>97.803497314453125</v>
      </c>
      <c r="F49" s="120">
        <v>81.939224243164063</v>
      </c>
      <c r="G49" s="120">
        <v>50.815235137939453</v>
      </c>
      <c r="H49" s="120">
        <v>17.396125793457031</v>
      </c>
      <c r="I49" s="121">
        <v>451.18130493164063</v>
      </c>
      <c r="J49" s="120">
        <v>19.07</v>
      </c>
      <c r="K49" s="120">
        <v>10.5</v>
      </c>
      <c r="L49" s="120">
        <v>44.785839080810547</v>
      </c>
      <c r="M49" s="122">
        <v>496</v>
      </c>
      <c r="N49" s="55"/>
      <c r="O49" s="120">
        <v>32.879999999999995</v>
      </c>
      <c r="P49" s="120">
        <v>7.1</v>
      </c>
      <c r="Q49" s="126">
        <v>75</v>
      </c>
      <c r="R49" s="55"/>
      <c r="S49" s="128">
        <v>571</v>
      </c>
    </row>
    <row r="50" spans="1:19" ht="20.100000000000001" customHeight="1" x14ac:dyDescent="0.25">
      <c r="A50" s="118" t="s">
        <v>33</v>
      </c>
      <c r="B50" s="55"/>
      <c r="C50" s="120">
        <v>10.056801795959473</v>
      </c>
      <c r="D50" s="120">
        <v>38.691238403320313</v>
      </c>
      <c r="E50" s="120">
        <v>14.732397079467773</v>
      </c>
      <c r="F50" s="120">
        <v>14.392900466918945</v>
      </c>
      <c r="G50" s="120">
        <v>8.0235719680786133</v>
      </c>
      <c r="H50" s="120">
        <v>3.5626444816589355</v>
      </c>
      <c r="I50" s="121">
        <v>89.459556579589844</v>
      </c>
      <c r="J50" s="120">
        <v>5</v>
      </c>
      <c r="K50" s="120">
        <v>8</v>
      </c>
      <c r="L50" s="120">
        <v>11.80744457244873</v>
      </c>
      <c r="M50" s="122">
        <v>102</v>
      </c>
      <c r="N50" s="55"/>
      <c r="O50" s="120">
        <v>15.500000000000002</v>
      </c>
      <c r="P50" s="120">
        <v>5.5</v>
      </c>
      <c r="Q50" s="126">
        <v>22</v>
      </c>
      <c r="R50" s="55"/>
      <c r="S50" s="128">
        <v>124</v>
      </c>
    </row>
    <row r="51" spans="1:19" ht="20.100000000000001" customHeight="1" x14ac:dyDescent="0.25">
      <c r="A51" s="118" t="s">
        <v>34</v>
      </c>
      <c r="B51" s="55"/>
      <c r="C51" s="120">
        <v>8.7756156921386719</v>
      </c>
      <c r="D51" s="120">
        <v>52.573974609375</v>
      </c>
      <c r="E51" s="120">
        <v>14.589811325073242</v>
      </c>
      <c r="F51" s="120">
        <v>18.534120559692383</v>
      </c>
      <c r="G51" s="120">
        <v>12.334688186645508</v>
      </c>
      <c r="H51" s="120">
        <v>5.3591809272766113</v>
      </c>
      <c r="I51" s="121">
        <v>112.16738891601563</v>
      </c>
      <c r="J51" s="120">
        <v>1</v>
      </c>
      <c r="K51" s="120">
        <v>8</v>
      </c>
      <c r="L51" s="120">
        <v>14.145923614501953</v>
      </c>
      <c r="M51" s="122">
        <v>127</v>
      </c>
      <c r="N51" s="55"/>
      <c r="O51" s="120">
        <v>50.499999999999993</v>
      </c>
      <c r="P51" s="120">
        <v>5.5</v>
      </c>
      <c r="Q51" s="126">
        <v>33</v>
      </c>
      <c r="R51" s="55"/>
      <c r="S51" s="128">
        <v>160</v>
      </c>
    </row>
    <row r="52" spans="1:19" ht="20.100000000000001" customHeight="1" x14ac:dyDescent="0.25">
      <c r="A52" s="118" t="s">
        <v>17</v>
      </c>
      <c r="B52" s="55"/>
      <c r="C52" s="120">
        <v>0.15017881989479065</v>
      </c>
      <c r="D52" s="120">
        <v>0.75517719984054565</v>
      </c>
      <c r="E52" s="120">
        <v>0.16216474771499634</v>
      </c>
      <c r="F52" s="120">
        <v>0.22633786499500275</v>
      </c>
      <c r="G52" s="120">
        <v>0.29306748509407043</v>
      </c>
      <c r="H52" s="120">
        <v>0.15219634771347046</v>
      </c>
      <c r="I52" s="121">
        <v>1.7391225099563599</v>
      </c>
      <c r="J52" s="120">
        <v>0</v>
      </c>
      <c r="K52" s="120">
        <v>7.2</v>
      </c>
      <c r="L52" s="120">
        <v>0.24154479801654816</v>
      </c>
      <c r="M52" s="122">
        <v>2</v>
      </c>
      <c r="N52" s="55"/>
      <c r="O52" s="120">
        <v>1.6199999999999999</v>
      </c>
      <c r="P52" s="120">
        <v>3.8000000000000003</v>
      </c>
      <c r="Q52" s="126">
        <v>1</v>
      </c>
      <c r="R52" s="55"/>
      <c r="S52" s="128">
        <v>3</v>
      </c>
    </row>
    <row r="53" spans="1:19" ht="20.100000000000001" customHeight="1" x14ac:dyDescent="0.25">
      <c r="A53" s="118" t="s">
        <v>35</v>
      </c>
      <c r="B53" s="55"/>
      <c r="C53" s="120">
        <v>3.3208315372467041</v>
      </c>
      <c r="D53" s="120">
        <v>12.507500648498535</v>
      </c>
      <c r="E53" s="120">
        <v>3.3267989158630371</v>
      </c>
      <c r="F53" s="120">
        <v>4.5095524787902832</v>
      </c>
      <c r="G53" s="120">
        <v>3.3553860187530518</v>
      </c>
      <c r="H53" s="120">
        <v>1.3811752796173096</v>
      </c>
      <c r="I53" s="121">
        <v>28.4012451171875</v>
      </c>
      <c r="J53" s="120">
        <v>0.05</v>
      </c>
      <c r="K53" s="120">
        <v>8</v>
      </c>
      <c r="L53" s="120">
        <v>3.5564055442810059</v>
      </c>
      <c r="M53" s="122">
        <v>32</v>
      </c>
      <c r="N53" s="55"/>
      <c r="O53" s="120">
        <v>4.2699999999999996</v>
      </c>
      <c r="P53" s="120">
        <v>5.5</v>
      </c>
      <c r="Q53" s="126">
        <v>7</v>
      </c>
      <c r="R53" s="55"/>
      <c r="S53" s="128">
        <v>39</v>
      </c>
    </row>
    <row r="54" spans="1:19" ht="20.100000000000001" customHeight="1" x14ac:dyDescent="0.25">
      <c r="A54" s="118" t="s">
        <v>48</v>
      </c>
      <c r="B54" s="55"/>
      <c r="C54" s="120">
        <v>17.13526725769043</v>
      </c>
      <c r="D54" s="120">
        <v>49.679775238037109</v>
      </c>
      <c r="E54" s="120">
        <v>34.638984680175781</v>
      </c>
      <c r="F54" s="120">
        <v>37.398063659667969</v>
      </c>
      <c r="G54" s="120">
        <v>15.48978328704834</v>
      </c>
      <c r="H54" s="120">
        <v>5.622258186340332</v>
      </c>
      <c r="I54" s="121">
        <v>159.96412658691406</v>
      </c>
      <c r="J54" s="120">
        <v>2</v>
      </c>
      <c r="K54" s="120">
        <v>9.8000000000000007</v>
      </c>
      <c r="L54" s="120">
        <v>16.526950836181641</v>
      </c>
      <c r="M54" s="122">
        <v>177</v>
      </c>
      <c r="N54" s="55"/>
      <c r="O54" s="120">
        <v>7</v>
      </c>
      <c r="P54" s="120">
        <v>7.1000000000000005</v>
      </c>
      <c r="Q54" s="126">
        <v>26</v>
      </c>
      <c r="R54" s="55"/>
      <c r="S54" s="128">
        <v>203</v>
      </c>
    </row>
    <row r="55" spans="1:19" ht="20.100000000000001" customHeight="1" x14ac:dyDescent="0.25">
      <c r="A55" s="118" t="s">
        <v>49</v>
      </c>
      <c r="B55" s="55"/>
      <c r="C55" s="120">
        <v>13.199326515197754</v>
      </c>
      <c r="D55" s="120">
        <v>62.762908935546875</v>
      </c>
      <c r="E55" s="120">
        <v>26.679365158081055</v>
      </c>
      <c r="F55" s="120">
        <v>27.251253128051758</v>
      </c>
      <c r="G55" s="120">
        <v>23.633831024169922</v>
      </c>
      <c r="H55" s="120">
        <v>9.4249153137207031</v>
      </c>
      <c r="I55" s="121">
        <v>162.95159912109375</v>
      </c>
      <c r="J55" s="120">
        <v>5.4</v>
      </c>
      <c r="K55" s="120">
        <v>9.8000000000000007</v>
      </c>
      <c r="L55" s="120">
        <v>17.178733825683594</v>
      </c>
      <c r="M55" s="122">
        <v>181</v>
      </c>
      <c r="N55" s="55"/>
      <c r="O55" s="120">
        <v>10.4</v>
      </c>
      <c r="P55" s="120">
        <v>7.1000000000000005</v>
      </c>
      <c r="Q55" s="126">
        <v>27</v>
      </c>
      <c r="R55" s="55"/>
      <c r="S55" s="128">
        <v>208</v>
      </c>
    </row>
    <row r="56" spans="1:19" ht="20.100000000000001" customHeight="1" x14ac:dyDescent="0.25">
      <c r="A56" s="118" t="s">
        <v>50</v>
      </c>
      <c r="B56" s="55"/>
      <c r="C56" s="120">
        <v>15.169333457946777</v>
      </c>
      <c r="D56" s="120">
        <v>75.973091125488281</v>
      </c>
      <c r="E56" s="120">
        <v>40.412006378173828</v>
      </c>
      <c r="F56" s="120">
        <v>45.144680023193359</v>
      </c>
      <c r="G56" s="120">
        <v>22.686447143554688</v>
      </c>
      <c r="H56" s="120">
        <v>9.2390966415405273</v>
      </c>
      <c r="I56" s="121">
        <v>208.62464904785156</v>
      </c>
      <c r="J56" s="120">
        <v>2</v>
      </c>
      <c r="K56" s="120">
        <v>9.8000000000000007</v>
      </c>
      <c r="L56" s="120">
        <v>21.492311477661133</v>
      </c>
      <c r="M56" s="122">
        <v>231</v>
      </c>
      <c r="N56" s="55"/>
      <c r="O56" s="120">
        <v>7.5</v>
      </c>
      <c r="P56" s="120">
        <v>7.1000000000000005</v>
      </c>
      <c r="Q56" s="126">
        <v>34</v>
      </c>
      <c r="R56" s="55"/>
      <c r="S56" s="128">
        <v>265</v>
      </c>
    </row>
    <row r="57" spans="1:19" ht="20.100000000000001" customHeight="1" x14ac:dyDescent="0.25">
      <c r="A57" s="118" t="s">
        <v>36</v>
      </c>
      <c r="B57" s="55"/>
      <c r="C57" s="120">
        <v>4.0982251167297363</v>
      </c>
      <c r="D57" s="120">
        <v>22.070642471313477</v>
      </c>
      <c r="E57" s="120">
        <v>6.5989642143249512</v>
      </c>
      <c r="F57" s="120">
        <v>10.435022354125977</v>
      </c>
      <c r="G57" s="120">
        <v>3.7481679916381836</v>
      </c>
      <c r="H57" s="120">
        <v>2.5441105365753174</v>
      </c>
      <c r="I57" s="121">
        <v>49.495132446289063</v>
      </c>
      <c r="J57" s="120">
        <v>0</v>
      </c>
      <c r="K57" s="120">
        <v>8</v>
      </c>
      <c r="L57" s="120">
        <v>6.1868915557861328</v>
      </c>
      <c r="M57" s="122">
        <v>56</v>
      </c>
      <c r="N57" s="55"/>
      <c r="O57" s="120">
        <v>5.3</v>
      </c>
      <c r="P57" s="120">
        <v>5.5</v>
      </c>
      <c r="Q57" s="126">
        <v>12</v>
      </c>
      <c r="R57" s="55"/>
      <c r="S57" s="128">
        <v>68</v>
      </c>
    </row>
    <row r="58" spans="1:19" ht="20.100000000000001" customHeight="1" x14ac:dyDescent="0.25">
      <c r="A58" s="118" t="s">
        <v>37</v>
      </c>
      <c r="B58" s="55"/>
      <c r="C58" s="120">
        <v>2.8659493923187256</v>
      </c>
      <c r="D58" s="120">
        <v>19.44622802734375</v>
      </c>
      <c r="E58" s="120">
        <v>5.4629206657409668</v>
      </c>
      <c r="F58" s="120">
        <v>8.1412935256958008</v>
      </c>
      <c r="G58" s="120">
        <v>3.6391975879669189</v>
      </c>
      <c r="H58" s="120">
        <v>1.8727939128875732</v>
      </c>
      <c r="I58" s="121">
        <v>41.428382873535156</v>
      </c>
      <c r="J58" s="120">
        <v>1.25</v>
      </c>
      <c r="K58" s="120">
        <v>8</v>
      </c>
      <c r="L58" s="120">
        <v>5.3347978591918945</v>
      </c>
      <c r="M58" s="122">
        <v>47</v>
      </c>
      <c r="N58" s="55"/>
      <c r="O58" s="120">
        <v>3.5</v>
      </c>
      <c r="P58" s="120">
        <v>5.5</v>
      </c>
      <c r="Q58" s="126">
        <v>10</v>
      </c>
      <c r="R58" s="55"/>
      <c r="S58" s="128">
        <v>57</v>
      </c>
    </row>
    <row r="59" spans="1:19" ht="20.100000000000001" customHeight="1" x14ac:dyDescent="0.25">
      <c r="A59" s="118" t="s">
        <v>18</v>
      </c>
      <c r="B59" s="55"/>
      <c r="C59" s="120">
        <v>0.66707223653793335</v>
      </c>
      <c r="D59" s="120">
        <v>4.1718039512634277</v>
      </c>
      <c r="E59" s="120">
        <v>1.4269219636917114</v>
      </c>
      <c r="F59" s="120">
        <v>1.6164056062698364</v>
      </c>
      <c r="G59" s="120">
        <v>0.90857452154159546</v>
      </c>
      <c r="H59" s="120">
        <v>0.70285505056381226</v>
      </c>
      <c r="I59" s="121">
        <v>9.4936332702636719</v>
      </c>
      <c r="J59" s="120">
        <v>0</v>
      </c>
      <c r="K59" s="120">
        <v>7.2</v>
      </c>
      <c r="L59" s="120">
        <v>1.3185601234436035</v>
      </c>
      <c r="M59" s="122">
        <v>11</v>
      </c>
      <c r="N59" s="55"/>
      <c r="O59" s="120">
        <v>5</v>
      </c>
      <c r="P59" s="120">
        <v>3.8000000000000003</v>
      </c>
      <c r="Q59" s="126">
        <v>5</v>
      </c>
      <c r="R59" s="55"/>
      <c r="S59" s="128">
        <v>16</v>
      </c>
    </row>
    <row r="60" spans="1:19" ht="20.100000000000001" customHeight="1" x14ac:dyDescent="0.25">
      <c r="A60" s="118" t="s">
        <v>51</v>
      </c>
      <c r="B60" s="55"/>
      <c r="C60" s="120">
        <v>14.11090087890625</v>
      </c>
      <c r="D60" s="120">
        <v>89.906349182128906</v>
      </c>
      <c r="E60" s="120">
        <v>31.676712036132813</v>
      </c>
      <c r="F60" s="120">
        <v>39.094905853271484</v>
      </c>
      <c r="G60" s="120">
        <v>16.648332595825195</v>
      </c>
      <c r="H60" s="120">
        <v>15.505873680114746</v>
      </c>
      <c r="I60" s="121">
        <v>206.94306945800781</v>
      </c>
      <c r="J60" s="120">
        <v>2</v>
      </c>
      <c r="K60" s="120">
        <v>9.8000000000000007</v>
      </c>
      <c r="L60" s="120">
        <v>21.320720672607422</v>
      </c>
      <c r="M60" s="122">
        <v>229</v>
      </c>
      <c r="N60" s="55"/>
      <c r="O60" s="120">
        <v>18.5</v>
      </c>
      <c r="P60" s="120">
        <v>7.1000000000000005</v>
      </c>
      <c r="Q60" s="126">
        <v>35</v>
      </c>
      <c r="R60" s="55"/>
      <c r="S60" s="128">
        <v>264</v>
      </c>
    </row>
    <row r="61" spans="1:19" ht="20.100000000000001" customHeight="1" x14ac:dyDescent="0.25">
      <c r="A61" s="118" t="s">
        <v>38</v>
      </c>
      <c r="B61" s="55"/>
      <c r="C61" s="120">
        <v>1.5037088394165039</v>
      </c>
      <c r="D61" s="120">
        <v>15.388449668884277</v>
      </c>
      <c r="E61" s="120">
        <v>4.4674334526062012</v>
      </c>
      <c r="F61" s="120">
        <v>4.7894730567932129</v>
      </c>
      <c r="G61" s="120">
        <v>2.9579036235809326</v>
      </c>
      <c r="H61" s="120">
        <v>3.1343896389007568</v>
      </c>
      <c r="I61" s="121">
        <v>32.241359710693359</v>
      </c>
      <c r="J61" s="120">
        <v>1</v>
      </c>
      <c r="K61" s="120">
        <v>8</v>
      </c>
      <c r="L61" s="120">
        <v>4.1551699638366699</v>
      </c>
      <c r="M61" s="122">
        <v>37</v>
      </c>
      <c r="N61" s="55"/>
      <c r="O61" s="120">
        <v>2.8</v>
      </c>
      <c r="P61" s="120">
        <v>5.5</v>
      </c>
      <c r="Q61" s="126">
        <v>8</v>
      </c>
      <c r="R61" s="55"/>
      <c r="S61" s="128">
        <v>45</v>
      </c>
    </row>
    <row r="62" spans="1:19" ht="20.100000000000001" customHeight="1" x14ac:dyDescent="0.25">
      <c r="A62" s="118" t="s">
        <v>52</v>
      </c>
      <c r="B62" s="55"/>
      <c r="C62" s="120">
        <v>21.697347640991211</v>
      </c>
      <c r="D62" s="120">
        <v>92.314010620117188</v>
      </c>
      <c r="E62" s="120">
        <v>54.096290588378906</v>
      </c>
      <c r="F62" s="120">
        <v>50.136711120605469</v>
      </c>
      <c r="G62" s="120">
        <v>24.811288833618164</v>
      </c>
      <c r="H62" s="120">
        <v>12.921464920043945</v>
      </c>
      <c r="I62" s="121">
        <v>255.97711181640625</v>
      </c>
      <c r="J62" s="120">
        <v>7</v>
      </c>
      <c r="K62" s="120">
        <v>9.8000000000000007</v>
      </c>
      <c r="L62" s="120">
        <v>26.83439826965332</v>
      </c>
      <c r="M62" s="122">
        <v>283</v>
      </c>
      <c r="N62" s="55"/>
      <c r="O62" s="120">
        <v>60.61</v>
      </c>
      <c r="P62" s="120">
        <v>7.1000000000000005</v>
      </c>
      <c r="Q62" s="126">
        <v>49</v>
      </c>
      <c r="R62" s="55"/>
      <c r="S62" s="128">
        <v>332</v>
      </c>
    </row>
    <row r="63" spans="1:19" ht="20.100000000000001" customHeight="1" x14ac:dyDescent="0.25">
      <c r="A63" s="118" t="s">
        <v>39</v>
      </c>
      <c r="B63" s="55"/>
      <c r="C63" s="120">
        <v>6.2758145332336426</v>
      </c>
      <c r="D63" s="120">
        <v>37.330638885498047</v>
      </c>
      <c r="E63" s="120">
        <v>12.41428279876709</v>
      </c>
      <c r="F63" s="120">
        <v>14.858494758605957</v>
      </c>
      <c r="G63" s="120">
        <v>6.4476532936096191</v>
      </c>
      <c r="H63" s="120">
        <v>6.7789263725280762</v>
      </c>
      <c r="I63" s="121">
        <v>84.105812072753906</v>
      </c>
      <c r="J63" s="120">
        <v>1</v>
      </c>
      <c r="K63" s="120">
        <v>8</v>
      </c>
      <c r="L63" s="120">
        <v>10.638226509094238</v>
      </c>
      <c r="M63" s="122">
        <v>95</v>
      </c>
      <c r="N63" s="55"/>
      <c r="O63" s="120">
        <v>12.4</v>
      </c>
      <c r="P63" s="120">
        <v>5.5</v>
      </c>
      <c r="Q63" s="126">
        <v>20</v>
      </c>
      <c r="R63" s="55"/>
      <c r="S63" s="128">
        <v>115</v>
      </c>
    </row>
    <row r="64" spans="1:19" ht="20.100000000000001" customHeight="1" x14ac:dyDescent="0.25">
      <c r="A64" s="118" t="s">
        <v>40</v>
      </c>
      <c r="B64" s="55"/>
      <c r="C64" s="120">
        <v>1.8486493825912476</v>
      </c>
      <c r="D64" s="120">
        <v>16.653942108154297</v>
      </c>
      <c r="E64" s="120">
        <v>5.3879961967468262</v>
      </c>
      <c r="F64" s="120">
        <v>7.9865880012512207</v>
      </c>
      <c r="G64" s="120">
        <v>3.4036619663238525</v>
      </c>
      <c r="H64" s="120">
        <v>2.1907460689544678</v>
      </c>
      <c r="I64" s="121">
        <v>37.471584320068359</v>
      </c>
      <c r="J64" s="120">
        <v>0.25</v>
      </c>
      <c r="K64" s="120">
        <v>8</v>
      </c>
      <c r="L64" s="120">
        <v>4.7151980400085449</v>
      </c>
      <c r="M64" s="122">
        <v>43</v>
      </c>
      <c r="N64" s="55"/>
      <c r="O64" s="120">
        <v>4.3499999999999996</v>
      </c>
      <c r="P64" s="120">
        <v>5.5</v>
      </c>
      <c r="Q64" s="126">
        <v>9</v>
      </c>
      <c r="R64" s="55"/>
      <c r="S64" s="128">
        <v>52</v>
      </c>
    </row>
    <row r="65" spans="1:20" s="116" customFormat="1" ht="20.100000000000001" customHeight="1" thickBot="1" x14ac:dyDescent="0.3">
      <c r="A65" s="117" t="s">
        <v>62</v>
      </c>
      <c r="B65" s="55"/>
      <c r="C65" s="123">
        <f>SUM(C7:C64)</f>
        <v>878.65352368354797</v>
      </c>
      <c r="D65" s="123">
        <f t="shared" ref="D65:Q65" si="0">SUM(D7:D64)</f>
        <v>4747.2349750101566</v>
      </c>
      <c r="E65" s="123">
        <f t="shared" si="0"/>
        <v>3240.0369447097182</v>
      </c>
      <c r="F65" s="123">
        <f t="shared" si="0"/>
        <v>2713.5445426627994</v>
      </c>
      <c r="G65" s="123">
        <f t="shared" si="0"/>
        <v>1303.632169239223</v>
      </c>
      <c r="H65" s="123">
        <f t="shared" ref="H65" si="1">SUM(H7:H64)</f>
        <v>818.59473647177219</v>
      </c>
      <c r="I65" s="123">
        <f t="shared" si="0"/>
        <v>13701.697001814842</v>
      </c>
      <c r="J65" s="123">
        <f t="shared" ref="J65" si="2">SUM(J7:J64)</f>
        <v>679.48749999999995</v>
      </c>
      <c r="K65" s="114"/>
      <c r="L65" s="124"/>
      <c r="M65" s="125">
        <f>SUM(M7:M64)</f>
        <v>15178</v>
      </c>
      <c r="N65" s="55"/>
      <c r="O65" s="123">
        <f>SUM(O7:O64)</f>
        <v>1623.5624999999998</v>
      </c>
      <c r="P65" s="114"/>
      <c r="Q65" s="125">
        <f t="shared" si="0"/>
        <v>2502</v>
      </c>
      <c r="R65" s="55"/>
      <c r="S65" s="127">
        <f>SUM(S7:S64)</f>
        <v>17680</v>
      </c>
      <c r="T65" s="105"/>
    </row>
    <row r="66" spans="1:20" s="116" customFormat="1" ht="20.100000000000001" customHeight="1" thickTop="1" x14ac:dyDescent="0.25">
      <c r="A66" s="104"/>
      <c r="B66" s="55"/>
      <c r="C66" s="104"/>
      <c r="D66" s="104"/>
      <c r="E66" s="104"/>
      <c r="F66" s="104"/>
      <c r="G66" s="104"/>
      <c r="H66" s="104"/>
      <c r="I66" s="104"/>
      <c r="J66" s="104"/>
      <c r="K66" s="114"/>
      <c r="L66" s="104"/>
      <c r="M66" s="104"/>
      <c r="N66" s="55"/>
      <c r="O66" s="104"/>
      <c r="P66" s="114"/>
      <c r="Q66" s="104"/>
      <c r="R66" s="55"/>
      <c r="S66" s="115"/>
      <c r="T66" s="105"/>
    </row>
    <row r="67" spans="1:20" s="116" customFormat="1" ht="21.6" customHeight="1" x14ac:dyDescent="0.25">
      <c r="A67" s="255"/>
      <c r="B67" s="55"/>
      <c r="C67" s="112" t="s">
        <v>232</v>
      </c>
      <c r="E67" s="254"/>
      <c r="F67" s="254"/>
      <c r="G67" s="254"/>
      <c r="H67" s="254"/>
      <c r="I67" s="254"/>
      <c r="J67" s="254"/>
      <c r="K67" s="254"/>
      <c r="L67" s="254"/>
      <c r="M67" s="254"/>
      <c r="N67" s="254"/>
      <c r="O67" s="254"/>
      <c r="P67" s="254"/>
      <c r="Q67" s="254"/>
      <c r="R67" s="254"/>
      <c r="S67" s="254"/>
      <c r="T67" s="105"/>
    </row>
    <row r="68" spans="1:20" ht="21.6" customHeight="1" x14ac:dyDescent="0.25">
      <c r="A68" s="258"/>
      <c r="B68" s="55"/>
      <c r="C68" s="112" t="s">
        <v>231</v>
      </c>
      <c r="D68" s="254"/>
      <c r="E68" s="254"/>
      <c r="F68" s="254"/>
      <c r="G68" s="254"/>
      <c r="H68" s="254"/>
      <c r="I68" s="254"/>
      <c r="J68" s="254"/>
      <c r="K68" s="254"/>
      <c r="L68" s="254"/>
      <c r="M68" s="254"/>
      <c r="N68" s="254"/>
      <c r="O68" s="254"/>
      <c r="P68" s="254"/>
      <c r="Q68" s="254"/>
      <c r="R68" s="55"/>
    </row>
    <row r="69" spans="1:20" x14ac:dyDescent="0.25">
      <c r="B69" s="55"/>
      <c r="N69" s="55"/>
      <c r="R69" s="55"/>
    </row>
    <row r="70" spans="1:20" x14ac:dyDescent="0.25">
      <c r="B70" s="55"/>
      <c r="N70" s="55"/>
      <c r="R70" s="55"/>
    </row>
  </sheetData>
  <mergeCells count="3">
    <mergeCell ref="C4:M4"/>
    <mergeCell ref="O4:Q4"/>
    <mergeCell ref="A5:A6"/>
  </mergeCells>
  <printOptions horizontalCentered="1"/>
  <pageMargins left="0.25" right="0.25" top="0.5" bottom="0.25" header="0.3" footer="0.3"/>
  <pageSetup scale="53" orientation="portrait" r:id="rId1"/>
  <headerFooter>
    <oddHeader xml:space="preserve">&amp;R&amp;"-,Bold"&amp;14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Q73"/>
  <sheetViews>
    <sheetView zoomScaleNormal="100" zoomScaleSheetLayoutView="100" workbookViewId="0">
      <pane xSplit="2" ySplit="5" topLeftCell="C56" activePane="bottomRight" state="frozen"/>
      <selection pane="topRight" activeCell="C1" sqref="C1"/>
      <selection pane="bottomLeft" activeCell="A6" sqref="A6"/>
      <selection pane="bottomRight" activeCell="K9" sqref="K9"/>
    </sheetView>
  </sheetViews>
  <sheetFormatPr defaultColWidth="9.140625" defaultRowHeight="15" x14ac:dyDescent="0.25"/>
  <cols>
    <col min="1" max="1" width="17.85546875" style="129" customWidth="1"/>
    <col min="2" max="2" width="1.85546875" style="64" customWidth="1"/>
    <col min="3" max="4" width="15.85546875" style="129" customWidth="1"/>
    <col min="5" max="5" width="1.85546875" style="64" customWidth="1"/>
    <col min="6" max="6" width="15.85546875" style="129" customWidth="1"/>
    <col min="7" max="7" width="11.42578125" style="129" bestFit="1" customWidth="1"/>
    <col min="8" max="10" width="9.140625" style="129"/>
    <col min="11" max="11" width="16" style="300" customWidth="1"/>
    <col min="12" max="16" width="9.140625" style="129"/>
    <col min="17" max="17" width="9.140625" style="303"/>
    <col min="18" max="16384" width="9.140625" style="129"/>
  </cols>
  <sheetData>
    <row r="1" spans="1:16" ht="20.100000000000001" customHeight="1" x14ac:dyDescent="0.25">
      <c r="A1" s="144" t="s">
        <v>170</v>
      </c>
      <c r="B1" s="104"/>
      <c r="E1" s="104"/>
    </row>
    <row r="2" spans="1:16" ht="18.600000000000001" customHeight="1" x14ac:dyDescent="0.25">
      <c r="A2" s="50"/>
      <c r="B2" s="53"/>
      <c r="C2" s="135"/>
      <c r="D2" s="135"/>
      <c r="E2" s="53"/>
      <c r="F2" s="135"/>
    </row>
    <row r="3" spans="1:16" ht="18.600000000000001" customHeight="1" x14ac:dyDescent="0.25">
      <c r="A3" s="130"/>
      <c r="B3" s="53"/>
      <c r="E3" s="53"/>
    </row>
    <row r="4" spans="1:16" ht="45" x14ac:dyDescent="0.25">
      <c r="A4" s="330" t="s">
        <v>63</v>
      </c>
      <c r="B4" s="85"/>
      <c r="C4" s="131" t="s">
        <v>173</v>
      </c>
      <c r="D4" s="150" t="s">
        <v>172</v>
      </c>
      <c r="E4" s="85"/>
      <c r="F4" s="78" t="s">
        <v>168</v>
      </c>
    </row>
    <row r="5" spans="1:16" x14ac:dyDescent="0.25">
      <c r="A5" s="331"/>
      <c r="B5" s="85"/>
      <c r="C5" s="82" t="s">
        <v>65</v>
      </c>
      <c r="D5" s="82" t="s">
        <v>1</v>
      </c>
      <c r="E5" s="85"/>
      <c r="F5" s="82" t="s">
        <v>66</v>
      </c>
    </row>
    <row r="6" spans="1:16" ht="18.600000000000001" customHeight="1" x14ac:dyDescent="0.25">
      <c r="A6" s="132" t="s">
        <v>53</v>
      </c>
      <c r="B6" s="85"/>
      <c r="C6" s="145">
        <f>'Program 10'!C7+'Program 90'!C7</f>
        <v>49502753.602000095</v>
      </c>
      <c r="D6" s="133">
        <f>'Program 10'!B7+'Program 90'!B7</f>
        <v>552.27499999999998</v>
      </c>
      <c r="E6" s="85"/>
      <c r="F6" s="146">
        <f>C6/D6</f>
        <v>89634.246710425243</v>
      </c>
      <c r="G6" s="134"/>
      <c r="K6" s="301"/>
      <c r="L6" s="298"/>
      <c r="P6" s="302"/>
    </row>
    <row r="7" spans="1:16" ht="18.600000000000001" customHeight="1" x14ac:dyDescent="0.25">
      <c r="A7" s="132" t="s">
        <v>4</v>
      </c>
      <c r="B7" s="86"/>
      <c r="C7" s="145">
        <f>'Program 10'!C8+'Program 90'!C8</f>
        <v>163782.32</v>
      </c>
      <c r="D7" s="133">
        <f>'Program 10'!B8+'Program 90'!B8</f>
        <v>2.5</v>
      </c>
      <c r="E7" s="86"/>
      <c r="F7" s="146">
        <f t="shared" ref="F7:F63" si="0">C7/D7</f>
        <v>65512.928</v>
      </c>
      <c r="G7" s="134"/>
      <c r="K7" s="301"/>
      <c r="L7" s="298"/>
      <c r="P7" s="302"/>
    </row>
    <row r="8" spans="1:16" ht="18.600000000000001" customHeight="1" x14ac:dyDescent="0.25">
      <c r="A8" s="132" t="s">
        <v>5</v>
      </c>
      <c r="B8" s="85"/>
      <c r="C8" s="145">
        <f>'Program 10'!C9+'Program 90'!C9</f>
        <v>1770664.8</v>
      </c>
      <c r="D8" s="133">
        <f>'Program 10'!B9+'Program 90'!B9</f>
        <v>26.6</v>
      </c>
      <c r="E8" s="85"/>
      <c r="F8" s="146">
        <f t="shared" si="0"/>
        <v>66566.345864661649</v>
      </c>
      <c r="G8" s="134"/>
      <c r="K8" s="301"/>
      <c r="L8" s="298"/>
      <c r="P8" s="302"/>
    </row>
    <row r="9" spans="1:16" ht="18.600000000000001" customHeight="1" x14ac:dyDescent="0.25">
      <c r="A9" s="132" t="s">
        <v>19</v>
      </c>
      <c r="B9" s="55"/>
      <c r="C9" s="145">
        <f>'Program 10'!C10+'Program 90'!C10</f>
        <v>5863257.0200000005</v>
      </c>
      <c r="D9" s="133">
        <f>'Program 10'!B10+'Program 90'!B10</f>
        <v>98.339999999999918</v>
      </c>
      <c r="E9" s="55"/>
      <c r="F9" s="146">
        <f t="shared" si="0"/>
        <v>59622.300386414536</v>
      </c>
      <c r="G9" s="134"/>
      <c r="K9" s="301"/>
      <c r="L9" s="298"/>
      <c r="P9" s="302"/>
    </row>
    <row r="10" spans="1:16" ht="18.600000000000001" customHeight="1" x14ac:dyDescent="0.25">
      <c r="A10" s="132" t="s">
        <v>6</v>
      </c>
      <c r="B10" s="55"/>
      <c r="C10" s="145">
        <f>'Program 10'!C11+'Program 90'!C11</f>
        <v>1418531.129</v>
      </c>
      <c r="D10" s="133">
        <f>'Program 10'!B11+'Program 90'!B11</f>
        <v>20.349999999999998</v>
      </c>
      <c r="E10" s="55"/>
      <c r="F10" s="146">
        <f t="shared" si="0"/>
        <v>69706.689385749385</v>
      </c>
      <c r="G10" s="134"/>
      <c r="K10" s="301"/>
      <c r="L10" s="298"/>
      <c r="P10" s="302"/>
    </row>
    <row r="11" spans="1:16" ht="18.600000000000001" customHeight="1" x14ac:dyDescent="0.25">
      <c r="A11" s="132" t="s">
        <v>7</v>
      </c>
      <c r="B11" s="55"/>
      <c r="C11" s="145">
        <f>'Program 10'!C12+'Program 90'!C12</f>
        <v>633923.40000000014</v>
      </c>
      <c r="D11" s="133">
        <f>'Program 10'!B12+'Program 90'!B12</f>
        <v>13.599999999999994</v>
      </c>
      <c r="E11" s="55"/>
      <c r="F11" s="146">
        <f t="shared" si="0"/>
        <v>46612.014705882386</v>
      </c>
      <c r="G11" s="134"/>
      <c r="K11" s="301"/>
      <c r="L11" s="298"/>
      <c r="P11" s="302"/>
    </row>
    <row r="12" spans="1:16" ht="18.600000000000001" customHeight="1" x14ac:dyDescent="0.25">
      <c r="A12" s="132" t="s">
        <v>41</v>
      </c>
      <c r="B12" s="87"/>
      <c r="C12" s="145">
        <f>'Program 10'!C13+'Program 90'!C13</f>
        <v>22400847.609999999</v>
      </c>
      <c r="D12" s="133">
        <f>'Program 10'!B13+'Program 90'!B13</f>
        <v>277.87</v>
      </c>
      <c r="E12" s="87"/>
      <c r="F12" s="146">
        <f t="shared" si="0"/>
        <v>80616.286788786121</v>
      </c>
      <c r="G12" s="134"/>
      <c r="K12" s="301"/>
      <c r="L12" s="298"/>
      <c r="P12" s="302"/>
    </row>
    <row r="13" spans="1:16" ht="18.600000000000001" customHeight="1" x14ac:dyDescent="0.25">
      <c r="A13" s="132" t="s">
        <v>8</v>
      </c>
      <c r="B13" s="55"/>
      <c r="C13" s="145">
        <f>'Program 10'!C14+'Program 90'!C14</f>
        <v>1259331.88491</v>
      </c>
      <c r="D13" s="133">
        <f>'Program 10'!B14+'Program 90'!B14</f>
        <v>19.750000000000007</v>
      </c>
      <c r="E13" s="55"/>
      <c r="F13" s="146">
        <f t="shared" si="0"/>
        <v>63763.639742278458</v>
      </c>
      <c r="G13" s="134"/>
      <c r="K13" s="301"/>
      <c r="L13" s="298"/>
      <c r="P13" s="302"/>
    </row>
    <row r="14" spans="1:16" ht="18.600000000000001" customHeight="1" x14ac:dyDescent="0.25">
      <c r="A14" s="132" t="s">
        <v>20</v>
      </c>
      <c r="B14" s="55"/>
      <c r="C14" s="145">
        <f>'Program 10'!C15+'Program 90'!C15</f>
        <v>4901991.0777050033</v>
      </c>
      <c r="D14" s="133">
        <f>'Program 10'!B15+'Program 90'!B15</f>
        <v>75.56</v>
      </c>
      <c r="E14" s="55"/>
      <c r="F14" s="146">
        <f t="shared" si="0"/>
        <v>64875.477470950282</v>
      </c>
      <c r="G14" s="134"/>
      <c r="K14" s="301"/>
      <c r="L14" s="298"/>
      <c r="P14" s="302"/>
    </row>
    <row r="15" spans="1:16" ht="18.600000000000001" customHeight="1" x14ac:dyDescent="0.25">
      <c r="A15" s="132" t="s">
        <v>42</v>
      </c>
      <c r="B15" s="55"/>
      <c r="C15" s="145">
        <f>'Program 10'!C16+'Program 90'!C16</f>
        <v>29546421.050000001</v>
      </c>
      <c r="D15" s="133">
        <f>'Program 10'!B16+'Program 90'!B16</f>
        <v>449.88000000000005</v>
      </c>
      <c r="E15" s="55"/>
      <c r="F15" s="146">
        <f t="shared" si="0"/>
        <v>65676.227105005775</v>
      </c>
      <c r="G15" s="134"/>
      <c r="K15" s="301"/>
      <c r="L15" s="298"/>
      <c r="P15" s="302"/>
    </row>
    <row r="16" spans="1:16" ht="18.600000000000001" customHeight="1" x14ac:dyDescent="0.25">
      <c r="A16" s="132" t="s">
        <v>9</v>
      </c>
      <c r="B16" s="55"/>
      <c r="C16" s="145">
        <f>'Program 10'!C17+'Program 90'!C17</f>
        <v>911085.99983400013</v>
      </c>
      <c r="D16" s="133">
        <f>'Program 10'!B17+'Program 90'!B17</f>
        <v>16</v>
      </c>
      <c r="E16" s="55"/>
      <c r="F16" s="146">
        <f t="shared" si="0"/>
        <v>56942.874989625008</v>
      </c>
      <c r="G16" s="134"/>
      <c r="K16" s="301"/>
      <c r="L16" s="298"/>
      <c r="P16" s="302"/>
    </row>
    <row r="17" spans="1:16" ht="18.600000000000001" customHeight="1" x14ac:dyDescent="0.25">
      <c r="A17" s="132" t="s">
        <v>21</v>
      </c>
      <c r="B17" s="55"/>
      <c r="C17" s="145">
        <f>'Program 10'!C18+'Program 90'!C18</f>
        <v>4285131.6989999991</v>
      </c>
      <c r="D17" s="133">
        <f>'Program 10'!B18+'Program 90'!B18</f>
        <v>74.5</v>
      </c>
      <c r="E17" s="55"/>
      <c r="F17" s="146">
        <f t="shared" si="0"/>
        <v>57518.546295302003</v>
      </c>
      <c r="G17" s="134"/>
      <c r="K17" s="301"/>
      <c r="L17" s="298"/>
      <c r="P17" s="302"/>
    </row>
    <row r="18" spans="1:16" ht="18.600000000000001" customHeight="1" x14ac:dyDescent="0.25">
      <c r="A18" s="132" t="s">
        <v>22</v>
      </c>
      <c r="B18" s="87"/>
      <c r="C18" s="145">
        <f>'Program 10'!C19+'Program 90'!C19</f>
        <v>5406988.289719997</v>
      </c>
      <c r="D18" s="133">
        <f>'Program 10'!B19+'Program 90'!B19</f>
        <v>98.95</v>
      </c>
      <c r="E18" s="87"/>
      <c r="F18" s="146">
        <f t="shared" si="0"/>
        <v>54643.641129055046</v>
      </c>
      <c r="G18" s="134"/>
      <c r="K18" s="301"/>
      <c r="L18" s="298"/>
      <c r="P18" s="302"/>
    </row>
    <row r="19" spans="1:16" ht="18.600000000000001" customHeight="1" x14ac:dyDescent="0.25">
      <c r="A19" s="132" t="s">
        <v>10</v>
      </c>
      <c r="B19" s="55"/>
      <c r="C19" s="145">
        <f>'Program 10'!C20+'Program 90'!C20</f>
        <v>804836.12621000002</v>
      </c>
      <c r="D19" s="133">
        <f>'Program 10'!B20+'Program 90'!B20</f>
        <v>11.129999999999995</v>
      </c>
      <c r="E19" s="55"/>
      <c r="F19" s="146">
        <f t="shared" si="0"/>
        <v>72312.3204141959</v>
      </c>
      <c r="G19" s="134"/>
      <c r="K19" s="301"/>
      <c r="L19" s="298"/>
      <c r="P19" s="302"/>
    </row>
    <row r="20" spans="1:16" ht="18.600000000000001" customHeight="1" x14ac:dyDescent="0.25">
      <c r="A20" s="132" t="s">
        <v>43</v>
      </c>
      <c r="B20" s="55"/>
      <c r="C20" s="145">
        <f>'Program 10'!C21+'Program 90'!C21</f>
        <v>29934102.399999976</v>
      </c>
      <c r="D20" s="133">
        <f>'Program 10'!B21+'Program 90'!B21</f>
        <v>447</v>
      </c>
      <c r="E20" s="55"/>
      <c r="F20" s="146">
        <f t="shared" si="0"/>
        <v>66966.672035794123</v>
      </c>
      <c r="G20" s="134"/>
      <c r="K20" s="301"/>
      <c r="L20" s="298"/>
      <c r="P20" s="302"/>
    </row>
    <row r="21" spans="1:16" ht="18.600000000000001" customHeight="1" x14ac:dyDescent="0.25">
      <c r="A21" s="132" t="s">
        <v>23</v>
      </c>
      <c r="B21" s="55"/>
      <c r="C21" s="145">
        <f>'Program 10'!C22+'Program 90'!C22</f>
        <v>4916703.1040000012</v>
      </c>
      <c r="D21" s="133">
        <f>'Program 10'!B22+'Program 90'!B22</f>
        <v>87.6</v>
      </c>
      <c r="E21" s="55"/>
      <c r="F21" s="146">
        <f t="shared" si="0"/>
        <v>56126.747762557097</v>
      </c>
      <c r="G21" s="134"/>
      <c r="K21" s="301"/>
      <c r="L21" s="298"/>
      <c r="P21" s="302"/>
    </row>
    <row r="22" spans="1:16" ht="18.600000000000001" customHeight="1" x14ac:dyDescent="0.25">
      <c r="A22" s="132" t="s">
        <v>24</v>
      </c>
      <c r="B22" s="55"/>
      <c r="C22" s="145">
        <f>'Program 10'!C23+'Program 90'!C23</f>
        <v>1752379.2250000001</v>
      </c>
      <c r="D22" s="133">
        <f>'Program 10'!B23+'Program 90'!B23</f>
        <v>26.3</v>
      </c>
      <c r="E22" s="55"/>
      <c r="F22" s="146">
        <f t="shared" si="0"/>
        <v>66630.388783269969</v>
      </c>
      <c r="G22" s="134"/>
      <c r="K22" s="301"/>
      <c r="L22" s="298"/>
      <c r="P22" s="302"/>
    </row>
    <row r="23" spans="1:16" ht="18.600000000000001" customHeight="1" x14ac:dyDescent="0.25">
      <c r="A23" s="132" t="s">
        <v>11</v>
      </c>
      <c r="B23" s="55"/>
      <c r="C23" s="145">
        <f>'Program 10'!C24+'Program 90'!C24</f>
        <v>1007410.2749999999</v>
      </c>
      <c r="D23" s="133">
        <f>'Program 10'!B24+'Program 90'!B24</f>
        <v>16</v>
      </c>
      <c r="E23" s="55"/>
      <c r="F23" s="146">
        <f t="shared" si="0"/>
        <v>62963.142187499994</v>
      </c>
      <c r="G23" s="134"/>
      <c r="K23" s="301"/>
      <c r="L23" s="298"/>
      <c r="P23" s="302"/>
    </row>
    <row r="24" spans="1:16" ht="18.600000000000001" customHeight="1" x14ac:dyDescent="0.25">
      <c r="A24" s="132" t="s">
        <v>54</v>
      </c>
      <c r="B24" s="55"/>
      <c r="C24" s="145">
        <f>'Program 10'!C25+'Program 90'!C25</f>
        <v>312572615.41296923</v>
      </c>
      <c r="D24" s="133">
        <f>'Program 10'!B25+'Program 90'!B25</f>
        <v>3845.25</v>
      </c>
      <c r="E24" s="55"/>
      <c r="F24" s="146">
        <f t="shared" si="0"/>
        <v>81287.982683302573</v>
      </c>
      <c r="G24" s="134"/>
      <c r="K24" s="301"/>
      <c r="L24" s="298"/>
      <c r="P24" s="302"/>
    </row>
    <row r="25" spans="1:16" ht="18.600000000000001" customHeight="1" x14ac:dyDescent="0.25">
      <c r="A25" s="132" t="s">
        <v>25</v>
      </c>
      <c r="B25" s="55"/>
      <c r="C25" s="145">
        <f>'Program 10'!C26+'Program 90'!C26</f>
        <v>5347699.2399999965</v>
      </c>
      <c r="D25" s="133">
        <f>'Program 10'!B26+'Program 90'!B26</f>
        <v>87.66</v>
      </c>
      <c r="E25" s="55"/>
      <c r="F25" s="146">
        <f t="shared" si="0"/>
        <v>61005.010723248881</v>
      </c>
      <c r="G25" s="134"/>
      <c r="K25" s="301"/>
      <c r="L25" s="298"/>
      <c r="P25" s="302"/>
    </row>
    <row r="26" spans="1:16" ht="18.600000000000001" customHeight="1" x14ac:dyDescent="0.25">
      <c r="A26" s="132" t="s">
        <v>26</v>
      </c>
      <c r="B26" s="55"/>
      <c r="C26" s="145">
        <f>'Program 10'!C27+'Program 90'!C27</f>
        <v>7773275.4779999973</v>
      </c>
      <c r="D26" s="133">
        <f>'Program 10'!B27+'Program 90'!B27</f>
        <v>96.200000000000017</v>
      </c>
      <c r="E26" s="55"/>
      <c r="F26" s="146">
        <f t="shared" si="0"/>
        <v>80803.279397089354</v>
      </c>
      <c r="G26" s="134"/>
      <c r="K26" s="301"/>
      <c r="L26" s="298"/>
      <c r="P26" s="302"/>
    </row>
    <row r="27" spans="1:16" ht="18.600000000000001" customHeight="1" x14ac:dyDescent="0.25">
      <c r="A27" s="132" t="s">
        <v>12</v>
      </c>
      <c r="B27" s="55"/>
      <c r="C27" s="145">
        <f>'Program 10'!C28+'Program 90'!C28</f>
        <v>583705.80000000005</v>
      </c>
      <c r="D27" s="133">
        <f>'Program 10'!B28+'Program 90'!B28</f>
        <v>9.3000000000000007</v>
      </c>
      <c r="E27" s="55"/>
      <c r="F27" s="146">
        <f t="shared" si="0"/>
        <v>62764.06451612903</v>
      </c>
      <c r="G27" s="134"/>
      <c r="K27" s="301"/>
      <c r="L27" s="298"/>
      <c r="P27" s="302"/>
    </row>
    <row r="28" spans="1:16" ht="18.600000000000001" customHeight="1" x14ac:dyDescent="0.25">
      <c r="A28" s="132" t="s">
        <v>27</v>
      </c>
      <c r="B28" s="55"/>
      <c r="C28" s="145">
        <f>'Program 10'!C29+'Program 90'!C29</f>
        <v>3527973.3800000004</v>
      </c>
      <c r="D28" s="133">
        <f>'Program 10'!B29+'Program 90'!B29</f>
        <v>52.420999999999992</v>
      </c>
      <c r="E28" s="55"/>
      <c r="F28" s="146">
        <f t="shared" si="0"/>
        <v>67300.764579080918</v>
      </c>
      <c r="G28" s="134"/>
      <c r="K28" s="301"/>
      <c r="L28" s="298"/>
      <c r="P28" s="302"/>
    </row>
    <row r="29" spans="1:16" ht="18.600000000000001" customHeight="1" x14ac:dyDescent="0.25">
      <c r="A29" s="132" t="s">
        <v>28</v>
      </c>
      <c r="B29" s="55"/>
      <c r="C29" s="145">
        <f>'Program 10'!C30+'Program 90'!C30</f>
        <v>7553569.1165999994</v>
      </c>
      <c r="D29" s="133">
        <f>'Program 10'!B30+'Program 90'!B30</f>
        <v>118.75</v>
      </c>
      <c r="E29" s="55"/>
      <c r="F29" s="146">
        <f t="shared" si="0"/>
        <v>63609.003087157893</v>
      </c>
      <c r="G29" s="134"/>
      <c r="K29" s="301"/>
      <c r="L29" s="298"/>
      <c r="P29" s="302"/>
    </row>
    <row r="30" spans="1:16" ht="18.600000000000001" customHeight="1" x14ac:dyDescent="0.25">
      <c r="A30" s="132" t="s">
        <v>13</v>
      </c>
      <c r="B30" s="55"/>
      <c r="C30" s="145">
        <f>'Program 10'!C31+'Program 90'!C31</f>
        <v>529604.68999999994</v>
      </c>
      <c r="D30" s="133">
        <f>'Program 10'!B31+'Program 90'!B31</f>
        <v>9</v>
      </c>
      <c r="E30" s="55"/>
      <c r="F30" s="146">
        <f t="shared" si="0"/>
        <v>58844.965555555551</v>
      </c>
      <c r="G30" s="134"/>
      <c r="K30" s="301"/>
      <c r="L30" s="298"/>
      <c r="P30" s="302"/>
    </row>
    <row r="31" spans="1:16" ht="18.600000000000001" customHeight="1" x14ac:dyDescent="0.25">
      <c r="A31" s="132" t="s">
        <v>14</v>
      </c>
      <c r="B31" s="55"/>
      <c r="C31" s="145">
        <f>'Program 10'!C32+'Program 90'!C32</f>
        <v>757378.37042999989</v>
      </c>
      <c r="D31" s="133">
        <f>'Program 10'!B32+'Program 90'!B32</f>
        <v>11.182749999999999</v>
      </c>
      <c r="E31" s="55"/>
      <c r="F31" s="146">
        <f t="shared" si="0"/>
        <v>67727.381049384101</v>
      </c>
      <c r="G31" s="134"/>
      <c r="K31" s="301"/>
      <c r="L31" s="298"/>
      <c r="P31" s="302"/>
    </row>
    <row r="32" spans="1:16" ht="18.600000000000001" customHeight="1" x14ac:dyDescent="0.25">
      <c r="A32" s="132" t="s">
        <v>44</v>
      </c>
      <c r="B32" s="55"/>
      <c r="C32" s="145">
        <f>'Program 10'!C33+'Program 90'!C33</f>
        <v>13707986.239999998</v>
      </c>
      <c r="D32" s="133">
        <f>'Program 10'!B33+'Program 90'!B33</f>
        <v>186.79999999999995</v>
      </c>
      <c r="E32" s="55"/>
      <c r="F32" s="146">
        <f t="shared" si="0"/>
        <v>73383.223982869386</v>
      </c>
      <c r="G32" s="134"/>
      <c r="K32" s="301"/>
      <c r="L32" s="298"/>
      <c r="P32" s="302"/>
    </row>
    <row r="33" spans="1:16" ht="18.600000000000001" customHeight="1" x14ac:dyDescent="0.25">
      <c r="A33" s="132" t="s">
        <v>29</v>
      </c>
      <c r="B33" s="55"/>
      <c r="C33" s="145">
        <f>'Program 10'!C34+'Program 90'!C34</f>
        <v>4338048.5199999996</v>
      </c>
      <c r="D33" s="133">
        <f>'Program 10'!B34+'Program 90'!B34</f>
        <v>55.9</v>
      </c>
      <c r="E33" s="55"/>
      <c r="F33" s="146">
        <f t="shared" si="0"/>
        <v>77603.73023255814</v>
      </c>
      <c r="G33" s="134"/>
      <c r="K33" s="301"/>
      <c r="L33" s="298"/>
      <c r="P33" s="302"/>
    </row>
    <row r="34" spans="1:16" ht="18.600000000000001" customHeight="1" x14ac:dyDescent="0.25">
      <c r="A34" s="132" t="s">
        <v>30</v>
      </c>
      <c r="B34" s="55"/>
      <c r="C34" s="145">
        <f>'Program 10'!C35+'Program 90'!C35</f>
        <v>2779414.1226640004</v>
      </c>
      <c r="D34" s="133">
        <f>'Program 10'!B35+'Program 90'!B35</f>
        <v>41.57999999999997</v>
      </c>
      <c r="E34" s="55"/>
      <c r="F34" s="146">
        <f t="shared" si="0"/>
        <v>66844.976495045747</v>
      </c>
      <c r="G34" s="134"/>
      <c r="K34" s="301"/>
      <c r="L34" s="298"/>
      <c r="P34" s="302"/>
    </row>
    <row r="35" spans="1:16" ht="18.600000000000001" customHeight="1" x14ac:dyDescent="0.25">
      <c r="A35" s="132" t="s">
        <v>55</v>
      </c>
      <c r="B35" s="55"/>
      <c r="C35" s="145">
        <f>'Program 10'!C36+'Program 90'!C36</f>
        <v>98233591.553278625</v>
      </c>
      <c r="D35" s="133">
        <f>'Program 10'!B36+'Program 90'!B36</f>
        <v>1216.6875</v>
      </c>
      <c r="E35" s="55"/>
      <c r="F35" s="146">
        <f t="shared" si="0"/>
        <v>80738.555753452412</v>
      </c>
      <c r="G35" s="134"/>
      <c r="K35" s="301"/>
      <c r="L35" s="298"/>
      <c r="P35" s="302"/>
    </row>
    <row r="36" spans="1:16" ht="18.600000000000001" customHeight="1" x14ac:dyDescent="0.25">
      <c r="A36" s="132" t="s">
        <v>31</v>
      </c>
      <c r="B36" s="55"/>
      <c r="C36" s="145">
        <f>'Program 10'!C37+'Program 90'!C37</f>
        <v>11092436.439996</v>
      </c>
      <c r="D36" s="133">
        <f>'Program 10'!B37+'Program 90'!B37</f>
        <v>136.6</v>
      </c>
      <c r="E36" s="55"/>
      <c r="F36" s="146">
        <f t="shared" si="0"/>
        <v>81203.780673469984</v>
      </c>
      <c r="G36" s="134"/>
      <c r="K36" s="301"/>
      <c r="L36" s="298"/>
      <c r="P36" s="302"/>
    </row>
    <row r="37" spans="1:16" ht="18.600000000000001" customHeight="1" x14ac:dyDescent="0.25">
      <c r="A37" s="132" t="s">
        <v>15</v>
      </c>
      <c r="B37" s="55"/>
      <c r="C37" s="145">
        <f>'Program 10'!C38+'Program 90'!C38</f>
        <v>556105.48699999996</v>
      </c>
      <c r="D37" s="133">
        <f>'Program 10'!B38+'Program 90'!B38</f>
        <v>9</v>
      </c>
      <c r="E37" s="55"/>
      <c r="F37" s="146">
        <f t="shared" si="0"/>
        <v>61789.498555555554</v>
      </c>
      <c r="G37" s="134"/>
      <c r="K37" s="301"/>
      <c r="L37" s="298"/>
      <c r="P37" s="302"/>
    </row>
    <row r="38" spans="1:16" ht="18.600000000000001" customHeight="1" x14ac:dyDescent="0.25">
      <c r="A38" s="132" t="s">
        <v>56</v>
      </c>
      <c r="B38" s="55"/>
      <c r="C38" s="145">
        <f>'Program 10'!C39+'Program 90'!C39</f>
        <v>71924022.36399962</v>
      </c>
      <c r="D38" s="133">
        <f>'Program 10'!B39+'Program 90'!B39</f>
        <v>887.18999999999994</v>
      </c>
      <c r="E38" s="55"/>
      <c r="F38" s="146">
        <f t="shared" si="0"/>
        <v>81069.469182474582</v>
      </c>
      <c r="G38" s="134"/>
      <c r="K38" s="301"/>
      <c r="L38" s="298"/>
      <c r="P38" s="302"/>
    </row>
    <row r="39" spans="1:16" ht="18.600000000000001" customHeight="1" x14ac:dyDescent="0.25">
      <c r="A39" s="132" t="s">
        <v>57</v>
      </c>
      <c r="B39" s="55"/>
      <c r="C39" s="145">
        <f>'Program 10'!C40+'Program 90'!C40</f>
        <v>56192240.997799993</v>
      </c>
      <c r="D39" s="133">
        <f>'Program 10'!B40+'Program 90'!B40</f>
        <v>673.67</v>
      </c>
      <c r="E39" s="55"/>
      <c r="F39" s="146">
        <f t="shared" si="0"/>
        <v>83412.11720545667</v>
      </c>
      <c r="G39" s="134"/>
      <c r="K39" s="301"/>
      <c r="L39" s="298"/>
      <c r="P39" s="302"/>
    </row>
    <row r="40" spans="1:16" ht="18.600000000000001" customHeight="1" x14ac:dyDescent="0.25">
      <c r="A40" s="132" t="s">
        <v>16</v>
      </c>
      <c r="B40" s="55"/>
      <c r="C40" s="145">
        <f>'Program 10'!C41+'Program 90'!C41</f>
        <v>1436989.9</v>
      </c>
      <c r="D40" s="133">
        <f>'Program 10'!B41+'Program 90'!B41</f>
        <v>23.1</v>
      </c>
      <c r="E40" s="55"/>
      <c r="F40" s="146">
        <f t="shared" si="0"/>
        <v>62207.354978354968</v>
      </c>
      <c r="G40" s="134"/>
      <c r="K40" s="301"/>
      <c r="L40" s="298"/>
      <c r="P40" s="302"/>
    </row>
    <row r="41" spans="1:16" ht="18.600000000000001" customHeight="1" x14ac:dyDescent="0.25">
      <c r="A41" s="132" t="s">
        <v>58</v>
      </c>
      <c r="B41" s="55"/>
      <c r="C41" s="145">
        <f>'Program 10'!C42+'Program 90'!C42</f>
        <v>68864924.642960012</v>
      </c>
      <c r="D41" s="133">
        <f>'Program 10'!B42+'Program 90'!B42</f>
        <v>923.45</v>
      </c>
      <c r="E41" s="55"/>
      <c r="F41" s="146">
        <f t="shared" si="0"/>
        <v>74573.528228880838</v>
      </c>
      <c r="G41" s="134"/>
      <c r="K41" s="301"/>
      <c r="L41" s="298"/>
      <c r="P41" s="302"/>
    </row>
    <row r="42" spans="1:16" ht="18.600000000000001" customHeight="1" x14ac:dyDescent="0.25">
      <c r="A42" s="132" t="s">
        <v>59</v>
      </c>
      <c r="B42" s="55"/>
      <c r="C42" s="145">
        <f>'Program 10'!C43+'Program 90'!C43</f>
        <v>81541353.590340137</v>
      </c>
      <c r="D42" s="133">
        <f>'Program 10'!B43+'Program 90'!B43</f>
        <v>1054.5149999999999</v>
      </c>
      <c r="E42" s="55"/>
      <c r="F42" s="146">
        <f t="shared" si="0"/>
        <v>77325.930489694452</v>
      </c>
      <c r="G42" s="134"/>
      <c r="K42" s="301"/>
      <c r="L42" s="298"/>
      <c r="P42" s="302"/>
    </row>
    <row r="43" spans="1:16" ht="18.600000000000001" customHeight="1" x14ac:dyDescent="0.25">
      <c r="A43" s="132" t="s">
        <v>60</v>
      </c>
      <c r="B43" s="55"/>
      <c r="C43" s="145">
        <f>'Program 10'!C44+'Program 90'!C44</f>
        <v>34111019.670000017</v>
      </c>
      <c r="D43" s="133">
        <f>'Program 10'!B44+'Program 90'!B44</f>
        <v>344</v>
      </c>
      <c r="E43" s="55"/>
      <c r="F43" s="146">
        <f t="shared" si="0"/>
        <v>99159.940901162845</v>
      </c>
      <c r="G43" s="134"/>
      <c r="K43" s="301"/>
      <c r="L43" s="298"/>
      <c r="P43" s="302"/>
    </row>
    <row r="44" spans="1:16" ht="18.600000000000001" customHeight="1" x14ac:dyDescent="0.25">
      <c r="A44" s="132" t="s">
        <v>45</v>
      </c>
      <c r="B44" s="55"/>
      <c r="C44" s="145">
        <f>'Program 10'!C45+'Program 90'!C45</f>
        <v>23636686.675499987</v>
      </c>
      <c r="D44" s="133">
        <f>'Program 10'!B45+'Program 90'!B45</f>
        <v>331.80000000000007</v>
      </c>
      <c r="E44" s="55"/>
      <c r="F44" s="146">
        <f t="shared" si="0"/>
        <v>71237.753693489998</v>
      </c>
      <c r="G44" s="134"/>
      <c r="K44" s="301"/>
      <c r="L44" s="298"/>
      <c r="P44" s="302"/>
    </row>
    <row r="45" spans="1:16" ht="18.600000000000001" customHeight="1" x14ac:dyDescent="0.25">
      <c r="A45" s="132" t="s">
        <v>32</v>
      </c>
      <c r="B45" s="55"/>
      <c r="C45" s="145">
        <f>'Program 10'!C46+'Program 90'!C46</f>
        <v>8813272.9499999974</v>
      </c>
      <c r="D45" s="133">
        <f>'Program 10'!B46+'Program 90'!B46</f>
        <v>113.34999999999995</v>
      </c>
      <c r="E45" s="55"/>
      <c r="F45" s="146">
        <f t="shared" si="0"/>
        <v>77752.738861932085</v>
      </c>
      <c r="G45" s="134"/>
      <c r="K45" s="301"/>
      <c r="L45" s="298"/>
      <c r="P45" s="302"/>
    </row>
    <row r="46" spans="1:16" ht="18.600000000000001" customHeight="1" x14ac:dyDescent="0.25">
      <c r="A46" s="132" t="s">
        <v>46</v>
      </c>
      <c r="B46" s="55"/>
      <c r="C46" s="145">
        <f>'Program 10'!C47+'Program 90'!C47</f>
        <v>21942342.171029989</v>
      </c>
      <c r="D46" s="133">
        <f>'Program 10'!B47+'Program 90'!B47</f>
        <v>234</v>
      </c>
      <c r="E46" s="55"/>
      <c r="F46" s="146">
        <f t="shared" si="0"/>
        <v>93770.693038589699</v>
      </c>
      <c r="G46" s="134"/>
      <c r="K46" s="301"/>
      <c r="L46" s="298"/>
      <c r="P46" s="302"/>
    </row>
    <row r="47" spans="1:16" ht="18.600000000000001" customHeight="1" x14ac:dyDescent="0.25">
      <c r="A47" s="132" t="s">
        <v>47</v>
      </c>
      <c r="B47" s="55"/>
      <c r="C47" s="145">
        <f>'Program 10'!C48+'Program 90'!C48</f>
        <v>14339227.723540004</v>
      </c>
      <c r="D47" s="133">
        <f>'Program 10'!B48+'Program 90'!B48</f>
        <v>195.37500000000003</v>
      </c>
      <c r="E47" s="55"/>
      <c r="F47" s="146">
        <f t="shared" si="0"/>
        <v>73393.360069302638</v>
      </c>
      <c r="G47" s="134"/>
      <c r="K47" s="301"/>
      <c r="L47" s="298"/>
      <c r="P47" s="302"/>
    </row>
    <row r="48" spans="1:16" ht="18.600000000000001" customHeight="1" x14ac:dyDescent="0.25">
      <c r="A48" s="132" t="s">
        <v>61</v>
      </c>
      <c r="B48" s="55"/>
      <c r="C48" s="145">
        <f>'Program 10'!C49+'Program 90'!C49</f>
        <v>43193353.00118807</v>
      </c>
      <c r="D48" s="133">
        <f>'Program 10'!B49+'Program 90'!B49</f>
        <v>435.35</v>
      </c>
      <c r="E48" s="55"/>
      <c r="F48" s="146">
        <f t="shared" si="0"/>
        <v>99215.236019726814</v>
      </c>
      <c r="G48" s="134"/>
      <c r="K48" s="301"/>
      <c r="L48" s="298"/>
      <c r="P48" s="302"/>
    </row>
    <row r="49" spans="1:16" ht="18.600000000000001" customHeight="1" x14ac:dyDescent="0.25">
      <c r="A49" s="132" t="s">
        <v>33</v>
      </c>
      <c r="B49" s="55"/>
      <c r="C49" s="145">
        <f>'Program 10'!C50+'Program 90'!C50</f>
        <v>7680878.5420000032</v>
      </c>
      <c r="D49" s="133">
        <f>'Program 10'!B50+'Program 90'!B50</f>
        <v>99.1</v>
      </c>
      <c r="E49" s="55"/>
      <c r="F49" s="146">
        <f t="shared" si="0"/>
        <v>77506.342502522733</v>
      </c>
      <c r="G49" s="134"/>
      <c r="K49" s="301"/>
      <c r="L49" s="298"/>
      <c r="P49" s="302"/>
    </row>
    <row r="50" spans="1:16" ht="18.600000000000001" customHeight="1" x14ac:dyDescent="0.25">
      <c r="A50" s="132" t="s">
        <v>34</v>
      </c>
      <c r="B50" s="55"/>
      <c r="C50" s="145">
        <f>'Program 10'!C51+'Program 90'!C51</f>
        <v>8478261.9930000026</v>
      </c>
      <c r="D50" s="133">
        <f>'Program 10'!B51+'Program 90'!B51</f>
        <v>132.69999999999999</v>
      </c>
      <c r="E50" s="55"/>
      <c r="F50" s="146">
        <f t="shared" si="0"/>
        <v>63890.444559156014</v>
      </c>
      <c r="G50" s="134"/>
      <c r="K50" s="301"/>
      <c r="L50" s="298"/>
      <c r="P50" s="302"/>
    </row>
    <row r="51" spans="1:16" ht="18.600000000000001" customHeight="1" x14ac:dyDescent="0.25">
      <c r="A51" s="132" t="s">
        <v>17</v>
      </c>
      <c r="B51" s="55"/>
      <c r="C51" s="145">
        <f>'Program 10'!C52+'Program 90'!C52</f>
        <v>159531.28920000003</v>
      </c>
      <c r="D51" s="133">
        <f>'Program 10'!B52+'Program 90'!B52</f>
        <v>3.379999999999999</v>
      </c>
      <c r="E51" s="55"/>
      <c r="F51" s="146">
        <f t="shared" si="0"/>
        <v>47198.606272189369</v>
      </c>
      <c r="G51" s="134"/>
      <c r="K51" s="301"/>
      <c r="L51" s="298"/>
      <c r="P51" s="302"/>
    </row>
    <row r="52" spans="1:16" ht="18.600000000000001" customHeight="1" x14ac:dyDescent="0.25">
      <c r="A52" s="132" t="s">
        <v>35</v>
      </c>
      <c r="B52" s="55"/>
      <c r="C52" s="145">
        <f>'Program 10'!C53+'Program 90'!C53</f>
        <v>1460869.9000000001</v>
      </c>
      <c r="D52" s="133">
        <f>'Program 10'!B53+'Program 90'!B53</f>
        <v>21.780000000000005</v>
      </c>
      <c r="E52" s="55"/>
      <c r="F52" s="146">
        <f t="shared" si="0"/>
        <v>67073.916437098247</v>
      </c>
      <c r="G52" s="134"/>
      <c r="K52" s="301"/>
      <c r="L52" s="298"/>
      <c r="P52" s="302"/>
    </row>
    <row r="53" spans="1:16" ht="18.600000000000001" customHeight="1" x14ac:dyDescent="0.25">
      <c r="A53" s="132" t="s">
        <v>48</v>
      </c>
      <c r="B53" s="55"/>
      <c r="C53" s="145">
        <f>'Program 10'!C54+'Program 90'!C54</f>
        <v>13874828.878984995</v>
      </c>
      <c r="D53" s="133">
        <f>'Program 10'!B54+'Program 90'!B54</f>
        <v>193.1</v>
      </c>
      <c r="E53" s="55"/>
      <c r="F53" s="146">
        <f t="shared" si="0"/>
        <v>71853.075499663362</v>
      </c>
      <c r="G53" s="134"/>
      <c r="K53" s="301"/>
      <c r="L53" s="298"/>
      <c r="P53" s="302"/>
    </row>
    <row r="54" spans="1:16" ht="18.600000000000001" customHeight="1" x14ac:dyDescent="0.25">
      <c r="A54" s="132" t="s">
        <v>49</v>
      </c>
      <c r="B54" s="55"/>
      <c r="C54" s="145">
        <f>'Program 10'!C55+'Program 90'!C55</f>
        <v>11702048.060999988</v>
      </c>
      <c r="D54" s="133">
        <f>'Program 10'!B55+'Program 90'!B55</f>
        <v>145</v>
      </c>
      <c r="E54" s="55"/>
      <c r="F54" s="146">
        <f t="shared" si="0"/>
        <v>80703.779731034403</v>
      </c>
      <c r="G54" s="134"/>
      <c r="K54" s="301"/>
      <c r="L54" s="298"/>
      <c r="P54" s="302"/>
    </row>
    <row r="55" spans="1:16" ht="18.600000000000001" customHeight="1" x14ac:dyDescent="0.25">
      <c r="A55" s="132" t="s">
        <v>50</v>
      </c>
      <c r="B55" s="55"/>
      <c r="C55" s="145">
        <f>'Program 10'!C56+'Program 90'!C56</f>
        <v>15336301.912699994</v>
      </c>
      <c r="D55" s="133">
        <f>'Program 10'!B56+'Program 90'!B56</f>
        <v>227.1</v>
      </c>
      <c r="E55" s="55"/>
      <c r="F55" s="146">
        <f t="shared" si="0"/>
        <v>67531.052015411682</v>
      </c>
      <c r="G55" s="134"/>
      <c r="K55" s="301"/>
      <c r="L55" s="298"/>
      <c r="P55" s="302"/>
    </row>
    <row r="56" spans="1:16" ht="18.600000000000001" customHeight="1" x14ac:dyDescent="0.25">
      <c r="A56" s="132" t="s">
        <v>36</v>
      </c>
      <c r="B56" s="55"/>
      <c r="C56" s="145">
        <f>'Program 10'!C57+'Program 90'!C57</f>
        <v>2609364.4239999996</v>
      </c>
      <c r="D56" s="133">
        <f>'Program 10'!B57+'Program 90'!B57</f>
        <v>46.3</v>
      </c>
      <c r="E56" s="55"/>
      <c r="F56" s="146">
        <f t="shared" si="0"/>
        <v>56357.762937365005</v>
      </c>
      <c r="G56" s="134"/>
      <c r="K56" s="301"/>
      <c r="L56" s="298"/>
      <c r="P56" s="302"/>
    </row>
    <row r="57" spans="1:16" ht="18.600000000000001" customHeight="1" x14ac:dyDescent="0.25">
      <c r="A57" s="132" t="s">
        <v>37</v>
      </c>
      <c r="B57" s="55"/>
      <c r="C57" s="145">
        <f>'Program 10'!C58+'Program 90'!C58</f>
        <v>2673797.1899999995</v>
      </c>
      <c r="D57" s="133">
        <f>'Program 10'!B58+'Program 90'!B58</f>
        <v>41.25</v>
      </c>
      <c r="E57" s="55"/>
      <c r="F57" s="146">
        <f t="shared" si="0"/>
        <v>64819.325818181809</v>
      </c>
      <c r="G57" s="134"/>
      <c r="K57" s="301"/>
      <c r="L57" s="298"/>
      <c r="P57" s="302"/>
    </row>
    <row r="58" spans="1:16" ht="18.600000000000001" customHeight="1" x14ac:dyDescent="0.25">
      <c r="A58" s="132" t="s">
        <v>18</v>
      </c>
      <c r="B58" s="55"/>
      <c r="C58" s="145">
        <f>'Program 10'!C59+'Program 90'!C59</f>
        <v>636237.66219000006</v>
      </c>
      <c r="D58" s="133">
        <f>'Program 10'!B59+'Program 90'!B59</f>
        <v>10.420000000000003</v>
      </c>
      <c r="E58" s="55"/>
      <c r="F58" s="146">
        <f t="shared" si="0"/>
        <v>61059.276601727433</v>
      </c>
      <c r="G58" s="134"/>
      <c r="K58" s="301"/>
      <c r="L58" s="298"/>
      <c r="P58" s="302"/>
    </row>
    <row r="59" spans="1:16" ht="18.600000000000001" customHeight="1" x14ac:dyDescent="0.25">
      <c r="A59" s="132" t="s">
        <v>51</v>
      </c>
      <c r="B59" s="55"/>
      <c r="C59" s="145">
        <f>'Program 10'!C60+'Program 90'!C60</f>
        <v>14079275.71660001</v>
      </c>
      <c r="D59" s="133">
        <f>'Program 10'!B60+'Program 90'!B60</f>
        <v>217</v>
      </c>
      <c r="E59" s="55"/>
      <c r="F59" s="146">
        <f t="shared" si="0"/>
        <v>64881.454915207418</v>
      </c>
      <c r="G59" s="134"/>
      <c r="K59" s="301"/>
      <c r="L59" s="298"/>
      <c r="P59" s="302"/>
    </row>
    <row r="60" spans="1:16" ht="18.600000000000001" customHeight="1" x14ac:dyDescent="0.25">
      <c r="A60" s="132" t="s">
        <v>38</v>
      </c>
      <c r="B60" s="55"/>
      <c r="C60" s="145">
        <f>'Program 10'!C61+'Program 90'!C61</f>
        <v>2194936.7999999998</v>
      </c>
      <c r="D60" s="133">
        <f>'Program 10'!B61+'Program 90'!B61</f>
        <v>37.299999999999997</v>
      </c>
      <c r="E60" s="55"/>
      <c r="F60" s="146">
        <f t="shared" si="0"/>
        <v>58845.490616621981</v>
      </c>
      <c r="G60" s="134"/>
      <c r="K60" s="301"/>
      <c r="L60" s="298"/>
      <c r="P60" s="302"/>
    </row>
    <row r="61" spans="1:16" ht="18.600000000000001" customHeight="1" x14ac:dyDescent="0.25">
      <c r="A61" s="132" t="s">
        <v>52</v>
      </c>
      <c r="B61" s="55"/>
      <c r="C61" s="145">
        <f>'Program 10'!C62+'Program 90'!C62</f>
        <v>22051141.486400001</v>
      </c>
      <c r="D61" s="133">
        <f>'Program 10'!B62+'Program 90'!B62</f>
        <v>270.28999999999996</v>
      </c>
      <c r="E61" s="55"/>
      <c r="F61" s="146">
        <f t="shared" si="0"/>
        <v>81583.267921121776</v>
      </c>
      <c r="G61" s="134"/>
      <c r="K61" s="301"/>
      <c r="L61" s="298"/>
      <c r="P61" s="302"/>
    </row>
    <row r="62" spans="1:16" ht="18.600000000000001" customHeight="1" x14ac:dyDescent="0.25">
      <c r="A62" s="132" t="s">
        <v>39</v>
      </c>
      <c r="B62" s="55"/>
      <c r="C62" s="145">
        <f>'Program 10'!C63+'Program 90'!C63</f>
        <v>6428654.8499999996</v>
      </c>
      <c r="D62" s="133">
        <f>'Program 10'!B63+'Program 90'!B63</f>
        <v>91</v>
      </c>
      <c r="E62" s="55"/>
      <c r="F62" s="146">
        <f t="shared" si="0"/>
        <v>70644.558791208794</v>
      </c>
      <c r="G62" s="134"/>
      <c r="K62" s="301"/>
      <c r="L62" s="298"/>
      <c r="P62" s="302"/>
    </row>
    <row r="63" spans="1:16" ht="18.600000000000001" customHeight="1" x14ac:dyDescent="0.25">
      <c r="A63" s="132" t="s">
        <v>40</v>
      </c>
      <c r="B63" s="55"/>
      <c r="C63" s="145">
        <f>'Program 10'!C64+'Program 90'!C64</f>
        <v>3649526.1573999994</v>
      </c>
      <c r="D63" s="133">
        <f>'Program 10'!B64+'Program 90'!B64</f>
        <v>51.650000000000006</v>
      </c>
      <c r="E63" s="55"/>
      <c r="F63" s="146">
        <f t="shared" si="0"/>
        <v>70658.783299128729</v>
      </c>
      <c r="G63" s="134"/>
      <c r="K63" s="301"/>
      <c r="L63" s="298"/>
      <c r="P63" s="302"/>
    </row>
    <row r="64" spans="1:16" ht="18.600000000000001" customHeight="1" thickBot="1" x14ac:dyDescent="0.3">
      <c r="A64" s="147" t="s">
        <v>171</v>
      </c>
      <c r="B64" s="55"/>
      <c r="C64" s="148">
        <f>SUM(C6:C63)</f>
        <v>1174844633.4131494</v>
      </c>
      <c r="D64" s="149">
        <f>SUM(D6:D63)</f>
        <v>14993.706250000001</v>
      </c>
      <c r="E64" s="55"/>
      <c r="F64" s="148">
        <f>C64/D64</f>
        <v>78355.852370600449</v>
      </c>
      <c r="K64" s="301"/>
      <c r="L64" s="298"/>
      <c r="P64" s="302"/>
    </row>
    <row r="65" spans="1:16" ht="18.600000000000001" customHeight="1" thickTop="1" x14ac:dyDescent="0.25">
      <c r="A65" s="135"/>
      <c r="B65" s="55"/>
      <c r="C65" s="136"/>
      <c r="D65" s="136"/>
      <c r="E65" s="55"/>
      <c r="F65" s="136"/>
      <c r="P65" s="299"/>
    </row>
    <row r="66" spans="1:16" ht="18.600000000000001" customHeight="1" x14ac:dyDescent="0.25">
      <c r="A66" s="329" t="s">
        <v>80</v>
      </c>
      <c r="B66" s="329"/>
      <c r="C66" s="329"/>
      <c r="D66" s="329"/>
      <c r="E66" s="141"/>
      <c r="F66" s="161">
        <f>AVERAGE(F6:F63)</f>
        <v>69815.895993587197</v>
      </c>
    </row>
    <row r="67" spans="1:16" ht="18.600000000000001" customHeight="1" x14ac:dyDescent="0.25">
      <c r="A67" s="141"/>
      <c r="B67" s="55"/>
      <c r="C67" s="141"/>
      <c r="D67" s="141"/>
      <c r="E67" s="55"/>
      <c r="F67" s="137"/>
    </row>
    <row r="68" spans="1:16" ht="18.600000000000001" customHeight="1" x14ac:dyDescent="0.25">
      <c r="A68" s="142" t="s">
        <v>240</v>
      </c>
      <c r="B68" s="55"/>
      <c r="E68" s="55"/>
      <c r="F68" s="138"/>
    </row>
    <row r="69" spans="1:16" ht="53.85" customHeight="1" x14ac:dyDescent="0.25">
      <c r="A69" s="332" t="s">
        <v>169</v>
      </c>
      <c r="B69" s="332"/>
      <c r="C69" s="332"/>
      <c r="D69" s="332"/>
      <c r="E69" s="332"/>
      <c r="F69" s="332"/>
      <c r="G69" s="332"/>
      <c r="H69" s="332"/>
    </row>
    <row r="70" spans="1:16" x14ac:dyDescent="0.25">
      <c r="B70" s="55"/>
      <c r="C70" s="139"/>
      <c r="E70" s="55"/>
      <c r="F70" s="140"/>
    </row>
    <row r="71" spans="1:16" x14ac:dyDescent="0.25">
      <c r="B71" s="55"/>
      <c r="E71" s="55"/>
    </row>
    <row r="72" spans="1:16" x14ac:dyDescent="0.25">
      <c r="B72" s="55"/>
      <c r="E72" s="55"/>
    </row>
    <row r="73" spans="1:16" x14ac:dyDescent="0.25">
      <c r="B73" s="55"/>
      <c r="E73" s="55"/>
    </row>
  </sheetData>
  <mergeCells count="3">
    <mergeCell ref="A66:D66"/>
    <mergeCell ref="A4:A5"/>
    <mergeCell ref="A69:H69"/>
  </mergeCells>
  <printOptions horizontalCentered="1"/>
  <pageMargins left="0.45" right="0.45" top="0.5" bottom="0.25" header="0.3" footer="0.3"/>
  <pageSetup scale="5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67"/>
  <sheetViews>
    <sheetView zoomScaleNormal="100" workbookViewId="0">
      <pane xSplit="2" ySplit="5" topLeftCell="C6" activePane="bottomRight" state="frozen"/>
      <selection sqref="A1:XFD1048576"/>
      <selection pane="topRight" sqref="A1:XFD1048576"/>
      <selection pane="bottomLeft" sqref="A1:XFD1048576"/>
      <selection pane="bottomRight" activeCell="D8" sqref="D8"/>
    </sheetView>
  </sheetViews>
  <sheetFormatPr defaultColWidth="9.140625" defaultRowHeight="15" x14ac:dyDescent="0.25"/>
  <cols>
    <col min="1" max="1" width="8.140625" style="220" customWidth="1"/>
    <col min="2" max="2" width="14.5703125" style="220" customWidth="1"/>
    <col min="3" max="3" width="14" style="220" customWidth="1"/>
    <col min="4" max="4" width="14.140625" style="220" customWidth="1"/>
    <col min="5" max="5" width="12.5703125" style="220" customWidth="1"/>
    <col min="6" max="6" width="14.140625" style="239" customWidth="1"/>
    <col min="7" max="7" width="16.140625" style="239" customWidth="1"/>
    <col min="8" max="8" width="13.140625" style="240" customWidth="1"/>
    <col min="9" max="10" width="0.85546875" style="220" customWidth="1"/>
    <col min="11" max="11" width="8.85546875" style="221" bestFit="1" customWidth="1"/>
    <col min="12" max="16384" width="9.140625" style="220"/>
  </cols>
  <sheetData>
    <row r="1" spans="1:11" ht="18.75" x14ac:dyDescent="0.25">
      <c r="A1" s="233" t="s">
        <v>181</v>
      </c>
      <c r="B1" s="143"/>
      <c r="C1" s="143"/>
      <c r="D1" s="143"/>
      <c r="E1" s="143"/>
      <c r="F1" s="236"/>
      <c r="G1" s="236"/>
      <c r="H1" s="143"/>
    </row>
    <row r="2" spans="1:11" x14ac:dyDescent="0.25">
      <c r="A2" s="50"/>
      <c r="B2" s="143"/>
      <c r="C2" s="143"/>
      <c r="D2" s="143"/>
      <c r="E2" s="143"/>
      <c r="F2" s="236"/>
      <c r="G2" s="236"/>
      <c r="H2" s="143"/>
    </row>
    <row r="3" spans="1:11" x14ac:dyDescent="0.25">
      <c r="A3" s="222"/>
      <c r="B3" s="222"/>
      <c r="C3" s="222"/>
      <c r="D3" s="222"/>
      <c r="E3" s="222"/>
      <c r="F3" s="237"/>
      <c r="G3" s="237"/>
      <c r="H3" s="222"/>
    </row>
    <row r="4" spans="1:11" ht="63.75" x14ac:dyDescent="0.25">
      <c r="A4" s="333" t="s">
        <v>68</v>
      </c>
      <c r="B4" s="333" t="s">
        <v>63</v>
      </c>
      <c r="C4" s="242" t="s">
        <v>201</v>
      </c>
      <c r="D4" s="223" t="str">
        <f>"FTE Dollar Factor Applied ("&amp;TEXT('AVG RAS salary'!F66,"$##,###")&amp;" * BLS)"</f>
        <v>FTE Dollar Factor Applied ($69,816 * BLS)</v>
      </c>
      <c r="E4" s="223" t="s">
        <v>202</v>
      </c>
      <c r="F4" s="223" t="s">
        <v>98</v>
      </c>
      <c r="G4" s="242" t="str">
        <f>"Has FTE Need &lt;50 AND FTE Dollar Factor is Less Than Median of "&amp;TEXT(D67,"$##,###")&amp;"?"</f>
        <v>Has FTE Need &lt;50 AND FTE Dollar Factor is Less Than Median of $52,943?</v>
      </c>
      <c r="H4" s="78" t="s">
        <v>69</v>
      </c>
      <c r="K4" s="221" t="s">
        <v>81</v>
      </c>
    </row>
    <row r="5" spans="1:11" x14ac:dyDescent="0.25">
      <c r="A5" s="334"/>
      <c r="B5" s="334"/>
      <c r="C5" s="82" t="s">
        <v>65</v>
      </c>
      <c r="D5" s="82" t="s">
        <v>1</v>
      </c>
      <c r="E5" s="82" t="s">
        <v>66</v>
      </c>
      <c r="F5" s="82" t="s">
        <v>2</v>
      </c>
      <c r="G5" s="82" t="s">
        <v>3</v>
      </c>
      <c r="H5" s="82" t="s">
        <v>93</v>
      </c>
    </row>
    <row r="6" spans="1:11" x14ac:dyDescent="0.25">
      <c r="A6" s="234">
        <v>4</v>
      </c>
      <c r="B6" s="224" t="s">
        <v>53</v>
      </c>
      <c r="C6" s="162">
        <f>VLOOKUP(B6,BLS!$B$7:$I$64,8,FALSE)</f>
        <v>1.4770855903625488</v>
      </c>
      <c r="D6" s="145">
        <f>C6*'AVG RAS salary'!$F$66</f>
        <v>103124.05395037805</v>
      </c>
      <c r="E6" s="235">
        <f>VLOOKUP(B6,'WF Need'!B7:F64,5,FALSE)</f>
        <v>534</v>
      </c>
      <c r="F6" s="238" t="str">
        <f t="shared" ref="F6:F63" si="0">IF(E6&lt;50,"Yes","")</f>
        <v/>
      </c>
      <c r="G6" s="238" t="str">
        <f t="shared" ref="G6:G63" si="1">IF(F6="Yes",(IF(D6&lt;$D$67,"Yes","")),"")</f>
        <v/>
      </c>
      <c r="H6" s="175">
        <f>IF(F6="Yes", IF(G6="Yes",$D$67,D6),D6)</f>
        <v>103124.05395037805</v>
      </c>
      <c r="K6" s="225" t="str">
        <f>IF(F6="Yes",D6,"")</f>
        <v/>
      </c>
    </row>
    <row r="7" spans="1:11" x14ac:dyDescent="0.25">
      <c r="A7" s="234">
        <v>1</v>
      </c>
      <c r="B7" s="224" t="s">
        <v>4</v>
      </c>
      <c r="C7" s="162">
        <f>VLOOKUP(B7,BLS!$B$7:$I$64,8,FALSE)</f>
        <v>0.67904114723205566</v>
      </c>
      <c r="D7" s="145">
        <f>C7*'AVG RAS salary'!$F$66</f>
        <v>47407.866110519331</v>
      </c>
      <c r="E7" s="235">
        <f>VLOOKUP(B7,'WF Need'!B8:F65,5,FALSE)</f>
        <v>3</v>
      </c>
      <c r="F7" s="238" t="str">
        <f t="shared" si="0"/>
        <v>Yes</v>
      </c>
      <c r="G7" s="238" t="str">
        <f t="shared" si="1"/>
        <v>Yes</v>
      </c>
      <c r="H7" s="243">
        <f>IF(F7="Yes", IF(G7="Yes",$D$67,D7),D7)</f>
        <v>52942.992337079333</v>
      </c>
      <c r="K7" s="225">
        <f>IF(F7="Yes",D7,"")</f>
        <v>47407.866110519331</v>
      </c>
    </row>
    <row r="8" spans="1:11" x14ac:dyDescent="0.25">
      <c r="A8" s="234">
        <v>1</v>
      </c>
      <c r="B8" s="224" t="s">
        <v>5</v>
      </c>
      <c r="C8" s="162">
        <f>VLOOKUP(B8,BLS!$B$7:$I$64,8,FALSE)</f>
        <v>0.97083866596221924</v>
      </c>
      <c r="D8" s="145">
        <f>C8*'AVG RAS salary'!$F$66</f>
        <v>67779.971329371241</v>
      </c>
      <c r="E8" s="235">
        <f>VLOOKUP(B8,'WF Need'!B9:F66,5,FALSE)</f>
        <v>31</v>
      </c>
      <c r="F8" s="238" t="str">
        <f t="shared" si="0"/>
        <v>Yes</v>
      </c>
      <c r="G8" s="238" t="str">
        <f t="shared" si="1"/>
        <v/>
      </c>
      <c r="H8" s="243">
        <f t="shared" ref="H8:H63" si="2">IF(F8="Yes", IF(G8="Yes",$D$67,D8),D8)</f>
        <v>67779.971329371241</v>
      </c>
      <c r="K8" s="225">
        <f t="shared" ref="K8:K62" si="3">IF(F8="Yes",D8,"")</f>
        <v>67779.971329371241</v>
      </c>
    </row>
    <row r="9" spans="1:11" x14ac:dyDescent="0.25">
      <c r="A9" s="234">
        <v>2</v>
      </c>
      <c r="B9" s="224" t="s">
        <v>19</v>
      </c>
      <c r="C9" s="162">
        <f>VLOOKUP(B9,BLS!$B$7:$I$64,8,FALSE)</f>
        <v>0.90830177068710327</v>
      </c>
      <c r="D9" s="145">
        <f>C9*'AVG RAS salary'!$F$66</f>
        <v>63413.901953081891</v>
      </c>
      <c r="E9" s="235">
        <f>VLOOKUP(B9,'WF Need'!B10:F67,5,FALSE)</f>
        <v>132</v>
      </c>
      <c r="F9" s="238" t="str">
        <f t="shared" si="0"/>
        <v/>
      </c>
      <c r="G9" s="238" t="str">
        <f t="shared" si="1"/>
        <v/>
      </c>
      <c r="H9" s="243">
        <f t="shared" si="2"/>
        <v>63413.901953081891</v>
      </c>
      <c r="K9" s="225" t="str">
        <f t="shared" si="3"/>
        <v/>
      </c>
    </row>
    <row r="10" spans="1:11" x14ac:dyDescent="0.25">
      <c r="A10" s="234">
        <v>1</v>
      </c>
      <c r="B10" s="224" t="s">
        <v>6</v>
      </c>
      <c r="C10" s="162">
        <f>VLOOKUP(B10,BLS!$B$7:$I$64,8,FALSE)</f>
        <v>0.82986325025558472</v>
      </c>
      <c r="D10" s="145">
        <f>C10*'AVG RAS salary'!$F$66</f>
        <v>57937.646368744128</v>
      </c>
      <c r="E10" s="235">
        <f>VLOOKUP(B10,'WF Need'!B11:F69,5,FALSE)</f>
        <v>28</v>
      </c>
      <c r="F10" s="238" t="str">
        <f t="shared" si="0"/>
        <v>Yes</v>
      </c>
      <c r="G10" s="238" t="str">
        <f t="shared" si="1"/>
        <v/>
      </c>
      <c r="H10" s="243">
        <f t="shared" si="2"/>
        <v>57937.646368744128</v>
      </c>
      <c r="K10" s="225">
        <f t="shared" si="3"/>
        <v>57937.646368744128</v>
      </c>
    </row>
    <row r="11" spans="1:11" x14ac:dyDescent="0.25">
      <c r="A11" s="234">
        <v>1</v>
      </c>
      <c r="B11" s="224" t="s">
        <v>7</v>
      </c>
      <c r="C11" s="162">
        <f>VLOOKUP(B11,BLS!$B$7:$I$64,8,FALSE)</f>
        <v>0.72858595848083496</v>
      </c>
      <c r="D11" s="145">
        <f>C11*'AVG RAS salary'!$F$66</f>
        <v>50866.881499686016</v>
      </c>
      <c r="E11" s="235">
        <f>VLOOKUP(B11,'WF Need'!B12:F71,5,FALSE)</f>
        <v>18</v>
      </c>
      <c r="F11" s="238" t="str">
        <f t="shared" si="0"/>
        <v>Yes</v>
      </c>
      <c r="G11" s="238" t="str">
        <f t="shared" si="1"/>
        <v>Yes</v>
      </c>
      <c r="H11" s="243">
        <f>IF(F11="Yes", IF(G11="Yes",$D$67,D11),D11)</f>
        <v>52942.992337079333</v>
      </c>
      <c r="K11" s="225">
        <f t="shared" si="3"/>
        <v>50866.881499686016</v>
      </c>
    </row>
    <row r="12" spans="1:11" x14ac:dyDescent="0.25">
      <c r="A12" s="234">
        <v>3</v>
      </c>
      <c r="B12" s="224" t="s">
        <v>41</v>
      </c>
      <c r="C12" s="162">
        <f>VLOOKUP(B12,BLS!$B$7:$I$64,8,FALSE)</f>
        <v>1.3238526582717896</v>
      </c>
      <c r="D12" s="145">
        <f>C12*'AVG RAS salary'!$F$66</f>
        <v>92425.959500737197</v>
      </c>
      <c r="E12" s="235">
        <f>VLOOKUP(B12,'WF Need'!B13:F73,5,FALSE)</f>
        <v>360</v>
      </c>
      <c r="F12" s="238" t="str">
        <f t="shared" si="0"/>
        <v/>
      </c>
      <c r="G12" s="238" t="str">
        <f t="shared" si="1"/>
        <v/>
      </c>
      <c r="H12" s="243">
        <f t="shared" si="2"/>
        <v>92425.959500737197</v>
      </c>
      <c r="K12" s="225" t="str">
        <f t="shared" si="3"/>
        <v/>
      </c>
    </row>
    <row r="13" spans="1:11" x14ac:dyDescent="0.25">
      <c r="A13" s="234">
        <v>1</v>
      </c>
      <c r="B13" s="224" t="s">
        <v>8</v>
      </c>
      <c r="C13" s="162">
        <f>VLOOKUP(B13,BLS!$B$7:$I$64,8,FALSE)</f>
        <v>0.75832289457321167</v>
      </c>
      <c r="D13" s="145">
        <f>C13*'AVG RAS salary'!$F$66</f>
        <v>52942.992337079333</v>
      </c>
      <c r="E13" s="235">
        <f>VLOOKUP(B13,'WF Need'!B14:F73,5,FALSE)</f>
        <v>29</v>
      </c>
      <c r="F13" s="238" t="str">
        <f t="shared" si="0"/>
        <v>Yes</v>
      </c>
      <c r="G13" s="238" t="str">
        <f t="shared" si="1"/>
        <v/>
      </c>
      <c r="H13" s="243">
        <f t="shared" si="2"/>
        <v>52942.992337079333</v>
      </c>
      <c r="K13" s="225">
        <f t="shared" si="3"/>
        <v>52942.992337079333</v>
      </c>
    </row>
    <row r="14" spans="1:11" x14ac:dyDescent="0.25">
      <c r="A14" s="234">
        <v>2</v>
      </c>
      <c r="B14" s="224" t="s">
        <v>20</v>
      </c>
      <c r="C14" s="162">
        <f>VLOOKUP(B14,BLS!$B$7:$I$64,8,FALSE)</f>
        <v>1.086168646812439</v>
      </c>
      <c r="D14" s="145">
        <f>C14*'AVG RAS salary'!$F$66</f>
        <v>75831.837277352592</v>
      </c>
      <c r="E14" s="235">
        <f>VLOOKUP(B14,'WF Need'!B15:F73,5,FALSE)</f>
        <v>78</v>
      </c>
      <c r="F14" s="238" t="str">
        <f t="shared" si="0"/>
        <v/>
      </c>
      <c r="G14" s="238" t="str">
        <f t="shared" si="1"/>
        <v/>
      </c>
      <c r="H14" s="243">
        <f t="shared" si="2"/>
        <v>75831.837277352592</v>
      </c>
      <c r="K14" s="225" t="str">
        <f t="shared" si="3"/>
        <v/>
      </c>
    </row>
    <row r="15" spans="1:11" x14ac:dyDescent="0.25">
      <c r="A15" s="234">
        <v>3</v>
      </c>
      <c r="B15" s="224" t="s">
        <v>42</v>
      </c>
      <c r="C15" s="162">
        <f>VLOOKUP(B15,BLS!$B$7:$I$64,8,FALSE)</f>
        <v>0.93423771858215332</v>
      </c>
      <c r="D15" s="145">
        <f>C15*'AVG RAS salary'!$F$66</f>
        <v>65224.643393817802</v>
      </c>
      <c r="E15" s="235">
        <f>VLOOKUP(B15,'WF Need'!B16:F74,5,FALSE)</f>
        <v>518</v>
      </c>
      <c r="F15" s="238" t="str">
        <f t="shared" si="0"/>
        <v/>
      </c>
      <c r="G15" s="238" t="str">
        <f t="shared" si="1"/>
        <v/>
      </c>
      <c r="H15" s="243">
        <f t="shared" si="2"/>
        <v>65224.643393817802</v>
      </c>
      <c r="K15" s="225" t="str">
        <f t="shared" si="3"/>
        <v/>
      </c>
    </row>
    <row r="16" spans="1:11" x14ac:dyDescent="0.25">
      <c r="A16" s="234">
        <v>1</v>
      </c>
      <c r="B16" s="224" t="s">
        <v>9</v>
      </c>
      <c r="C16" s="162">
        <f>VLOOKUP(B16,BLS!$B$7:$I$64,8,FALSE)</f>
        <v>0.70527511835098267</v>
      </c>
      <c r="D16" s="145">
        <f>C16*'AVG RAS salary'!$F$66</f>
        <v>49239.414309657106</v>
      </c>
      <c r="E16" s="235">
        <f>VLOOKUP(B16,'WF Need'!B17:F75,5,FALSE)</f>
        <v>24</v>
      </c>
      <c r="F16" s="238" t="str">
        <f t="shared" si="0"/>
        <v>Yes</v>
      </c>
      <c r="G16" s="238" t="str">
        <f t="shared" si="1"/>
        <v>Yes</v>
      </c>
      <c r="H16" s="243">
        <f t="shared" si="2"/>
        <v>52942.992337079333</v>
      </c>
      <c r="K16" s="225">
        <f t="shared" si="3"/>
        <v>49239.414309657106</v>
      </c>
    </row>
    <row r="17" spans="1:11" x14ac:dyDescent="0.25">
      <c r="A17" s="234">
        <v>2</v>
      </c>
      <c r="B17" s="224" t="s">
        <v>21</v>
      </c>
      <c r="C17" s="162">
        <f>VLOOKUP(B17,BLS!$B$7:$I$64,8,FALSE)</f>
        <v>0.73123687505722046</v>
      </c>
      <c r="D17" s="145">
        <f>C17*'AVG RAS salary'!$F$66</f>
        <v>51051.957615670617</v>
      </c>
      <c r="E17" s="235">
        <f>VLOOKUP(B17,'WF Need'!B18:F76,5,FALSE)</f>
        <v>90</v>
      </c>
      <c r="F17" s="238" t="str">
        <f t="shared" si="0"/>
        <v/>
      </c>
      <c r="G17" s="238" t="str">
        <f t="shared" si="1"/>
        <v/>
      </c>
      <c r="H17" s="243">
        <f t="shared" si="2"/>
        <v>51051.957615670617</v>
      </c>
      <c r="K17" s="225" t="str">
        <f t="shared" si="3"/>
        <v/>
      </c>
    </row>
    <row r="18" spans="1:11" x14ac:dyDescent="0.25">
      <c r="A18" s="234">
        <v>2</v>
      </c>
      <c r="B18" s="224" t="s">
        <v>22</v>
      </c>
      <c r="C18" s="162">
        <f>VLOOKUP(B18,BLS!$B$7:$I$64,8,FALSE)</f>
        <v>0.70267742872238159</v>
      </c>
      <c r="D18" s="145">
        <f>C18*'AVG RAS salary'!$F$66</f>
        <v>49058.054280723074</v>
      </c>
      <c r="E18" s="235">
        <f>VLOOKUP(B18,'WF Need'!B19:F77,5,FALSE)</f>
        <v>105</v>
      </c>
      <c r="F18" s="238" t="str">
        <f t="shared" si="0"/>
        <v/>
      </c>
      <c r="G18" s="238" t="str">
        <f t="shared" si="1"/>
        <v/>
      </c>
      <c r="H18" s="243">
        <f t="shared" si="2"/>
        <v>49058.054280723074</v>
      </c>
      <c r="K18" s="225" t="str">
        <f t="shared" si="3"/>
        <v/>
      </c>
    </row>
    <row r="19" spans="1:11" x14ac:dyDescent="0.25">
      <c r="A19" s="234">
        <v>1</v>
      </c>
      <c r="B19" s="224" t="s">
        <v>10</v>
      </c>
      <c r="C19" s="162">
        <f>VLOOKUP(B19,BLS!$B$7:$I$64,8,FALSE)</f>
        <v>0.77925384044647217</v>
      </c>
      <c r="D19" s="145">
        <f>C19*'AVG RAS salary'!$F$66</f>
        <v>54404.305077214296</v>
      </c>
      <c r="E19" s="235">
        <f>VLOOKUP(B19,'WF Need'!B20:F78,5,FALSE)</f>
        <v>21</v>
      </c>
      <c r="F19" s="238" t="str">
        <f t="shared" si="0"/>
        <v>Yes</v>
      </c>
      <c r="G19" s="238" t="str">
        <f t="shared" si="1"/>
        <v/>
      </c>
      <c r="H19" s="243">
        <f t="shared" si="2"/>
        <v>54404.305077214296</v>
      </c>
      <c r="K19" s="225">
        <f t="shared" si="3"/>
        <v>54404.305077214296</v>
      </c>
    </row>
    <row r="20" spans="1:11" x14ac:dyDescent="0.25">
      <c r="A20" s="234">
        <v>3</v>
      </c>
      <c r="B20" s="224" t="s">
        <v>43</v>
      </c>
      <c r="C20" s="162">
        <f>VLOOKUP(B20,BLS!$B$7:$I$64,8,FALSE)</f>
        <v>0.93203520774841309</v>
      </c>
      <c r="D20" s="145">
        <f>C20*'AVG RAS salary'!$F$66</f>
        <v>65070.873126524646</v>
      </c>
      <c r="E20" s="235">
        <f>VLOOKUP(B20,'WF Need'!B21:F79,5,FALSE)</f>
        <v>520</v>
      </c>
      <c r="F20" s="238" t="str">
        <f t="shared" si="0"/>
        <v/>
      </c>
      <c r="G20" s="238" t="str">
        <f t="shared" si="1"/>
        <v/>
      </c>
      <c r="H20" s="243">
        <f t="shared" si="2"/>
        <v>65070.873126524646</v>
      </c>
      <c r="K20" s="225" t="str">
        <f t="shared" si="3"/>
        <v/>
      </c>
    </row>
    <row r="21" spans="1:11" x14ac:dyDescent="0.25">
      <c r="A21" s="234">
        <v>2</v>
      </c>
      <c r="B21" s="224" t="s">
        <v>23</v>
      </c>
      <c r="C21" s="162">
        <f>VLOOKUP(B21,BLS!$B$7:$I$64,8,FALSE)</f>
        <v>0.87686622142791748</v>
      </c>
      <c r="D21" s="145">
        <f>C21*'AVG RAS salary'!$F$66</f>
        <v>61219.200915501286</v>
      </c>
      <c r="E21" s="235">
        <f>VLOOKUP(B21,'WF Need'!B22:F80,5,FALSE)</f>
        <v>114</v>
      </c>
      <c r="F21" s="238" t="str">
        <f t="shared" si="0"/>
        <v/>
      </c>
      <c r="G21" s="238" t="str">
        <f t="shared" si="1"/>
        <v/>
      </c>
      <c r="H21" s="243">
        <f t="shared" si="2"/>
        <v>61219.200915501286</v>
      </c>
      <c r="K21" s="225" t="str">
        <f t="shared" si="3"/>
        <v/>
      </c>
    </row>
    <row r="22" spans="1:11" x14ac:dyDescent="0.25">
      <c r="A22" s="234">
        <v>2</v>
      </c>
      <c r="B22" s="224" t="s">
        <v>24</v>
      </c>
      <c r="C22" s="162">
        <f>VLOOKUP(B22,BLS!$B$7:$I$64,8,FALSE)</f>
        <v>0.73438078165054321</v>
      </c>
      <c r="D22" s="145">
        <f>C22*'AVG RAS salary'!$F$66</f>
        <v>51271.452271403592</v>
      </c>
      <c r="E22" s="235">
        <f>VLOOKUP(B22,'WF Need'!B23:F81,5,FALSE)</f>
        <v>56</v>
      </c>
      <c r="F22" s="238" t="str">
        <f t="shared" si="0"/>
        <v/>
      </c>
      <c r="G22" s="238" t="str">
        <f t="shared" si="1"/>
        <v/>
      </c>
      <c r="H22" s="243">
        <f t="shared" si="2"/>
        <v>51271.452271403592</v>
      </c>
      <c r="K22" s="225" t="str">
        <f t="shared" si="3"/>
        <v/>
      </c>
    </row>
    <row r="23" spans="1:11" x14ac:dyDescent="0.25">
      <c r="A23" s="234">
        <v>1</v>
      </c>
      <c r="B23" s="224" t="s">
        <v>11</v>
      </c>
      <c r="C23" s="162">
        <f>VLOOKUP(B23,BLS!$B$7:$I$64,8,FALSE)</f>
        <v>0.78791821002960205</v>
      </c>
      <c r="D23" s="145">
        <f>C23*'AVG RAS salary'!$F$66</f>
        <v>55009.215802880091</v>
      </c>
      <c r="E23" s="235">
        <f>VLOOKUP(B23,'WF Need'!B24:F82,5,FALSE)</f>
        <v>22</v>
      </c>
      <c r="F23" s="238" t="str">
        <f t="shared" si="0"/>
        <v>Yes</v>
      </c>
      <c r="G23" s="238" t="str">
        <f t="shared" si="1"/>
        <v/>
      </c>
      <c r="H23" s="243">
        <f t="shared" si="2"/>
        <v>55009.215802880091</v>
      </c>
      <c r="K23" s="225">
        <f t="shared" si="3"/>
        <v>55009.215802880091</v>
      </c>
    </row>
    <row r="24" spans="1:11" x14ac:dyDescent="0.25">
      <c r="A24" s="234">
        <v>4</v>
      </c>
      <c r="B24" s="224" t="s">
        <v>54</v>
      </c>
      <c r="C24" s="162">
        <f>VLOOKUP(B24,BLS!$B$7:$I$64,8,FALSE)</f>
        <v>1.4015434980392456</v>
      </c>
      <c r="D24" s="145">
        <f>C24*'AVG RAS salary'!$F$66</f>
        <v>97850.01508959636</v>
      </c>
      <c r="E24" s="235">
        <f>VLOOKUP(B24,'WF Need'!B25:F83,5,FALSE)</f>
        <v>4676</v>
      </c>
      <c r="F24" s="238" t="str">
        <f t="shared" si="0"/>
        <v/>
      </c>
      <c r="G24" s="238" t="str">
        <f t="shared" si="1"/>
        <v/>
      </c>
      <c r="H24" s="243">
        <f t="shared" si="2"/>
        <v>97850.01508959636</v>
      </c>
      <c r="K24" s="225" t="str">
        <f t="shared" si="3"/>
        <v/>
      </c>
    </row>
    <row r="25" spans="1:11" x14ac:dyDescent="0.25">
      <c r="A25" s="234">
        <v>2</v>
      </c>
      <c r="B25" s="224" t="s">
        <v>25</v>
      </c>
      <c r="C25" s="162">
        <f>VLOOKUP(B25,BLS!$B$7:$I$64,8,FALSE)</f>
        <v>0.91963410377502441</v>
      </c>
      <c r="D25" s="145">
        <f>C25*'AVG RAS salary'!$F$66</f>
        <v>64205.07894131288</v>
      </c>
      <c r="E25" s="235">
        <f>VLOOKUP(B25,'WF Need'!B26:F84,5,FALSE)</f>
        <v>113</v>
      </c>
      <c r="F25" s="238" t="str">
        <f t="shared" si="0"/>
        <v/>
      </c>
      <c r="G25" s="238" t="str">
        <f t="shared" si="1"/>
        <v/>
      </c>
      <c r="H25" s="243">
        <f t="shared" si="2"/>
        <v>64205.07894131288</v>
      </c>
      <c r="K25" s="225" t="str">
        <f t="shared" si="3"/>
        <v/>
      </c>
    </row>
    <row r="26" spans="1:11" x14ac:dyDescent="0.25">
      <c r="A26" s="234">
        <v>2</v>
      </c>
      <c r="B26" s="224" t="s">
        <v>26</v>
      </c>
      <c r="C26" s="162">
        <f>VLOOKUP(B26,BLS!$B$7:$I$64,8,FALSE)</f>
        <v>1.342115044593811</v>
      </c>
      <c r="D26" s="145">
        <f>C26*'AVG RAS salary'!$F$66</f>
        <v>93700.964364790154</v>
      </c>
      <c r="E26" s="235">
        <f>VLOOKUP(B26,'WF Need'!B27:F85,5,FALSE)</f>
        <v>102</v>
      </c>
      <c r="F26" s="238" t="str">
        <f t="shared" si="0"/>
        <v/>
      </c>
      <c r="G26" s="238" t="str">
        <f t="shared" si="1"/>
        <v/>
      </c>
      <c r="H26" s="243">
        <f t="shared" si="2"/>
        <v>93700.964364790154</v>
      </c>
      <c r="K26" s="225" t="str">
        <f t="shared" si="3"/>
        <v/>
      </c>
    </row>
    <row r="27" spans="1:11" x14ac:dyDescent="0.25">
      <c r="A27" s="234">
        <v>1</v>
      </c>
      <c r="B27" s="224" t="s">
        <v>12</v>
      </c>
      <c r="C27" s="162">
        <f>VLOOKUP(B27,BLS!$B$7:$I$64,8,FALSE)</f>
        <v>0.88798379898071289</v>
      </c>
      <c r="D27" s="145">
        <f>C27*'AVG RAS salary'!$F$66</f>
        <v>61995.38455362789</v>
      </c>
      <c r="E27" s="235">
        <f>VLOOKUP(B27,'WF Need'!B28:F86,5,FALSE)</f>
        <v>15</v>
      </c>
      <c r="F27" s="238" t="str">
        <f t="shared" si="0"/>
        <v>Yes</v>
      </c>
      <c r="G27" s="238" t="str">
        <f t="shared" si="1"/>
        <v/>
      </c>
      <c r="H27" s="243">
        <f t="shared" si="2"/>
        <v>61995.38455362789</v>
      </c>
      <c r="K27" s="225">
        <f t="shared" si="3"/>
        <v>61995.38455362789</v>
      </c>
    </row>
    <row r="28" spans="1:11" x14ac:dyDescent="0.25">
      <c r="A28" s="234">
        <v>2</v>
      </c>
      <c r="B28" s="224" t="s">
        <v>27</v>
      </c>
      <c r="C28" s="162">
        <f>VLOOKUP(B28,BLS!$B$7:$I$64,8,FALSE)</f>
        <v>0.78998774290084839</v>
      </c>
      <c r="D28" s="145">
        <f>C28*'AVG RAS salary'!$F$66</f>
        <v>55153.702094574335</v>
      </c>
      <c r="E28" s="235">
        <f>VLOOKUP(B28,'WF Need'!B29:F87,5,FALSE)</f>
        <v>65</v>
      </c>
      <c r="F28" s="238" t="str">
        <f t="shared" si="0"/>
        <v/>
      </c>
      <c r="G28" s="238" t="str">
        <f t="shared" si="1"/>
        <v/>
      </c>
      <c r="H28" s="243">
        <f t="shared" si="2"/>
        <v>55153.702094574335</v>
      </c>
      <c r="K28" s="225" t="str">
        <f t="shared" si="3"/>
        <v/>
      </c>
    </row>
    <row r="29" spans="1:11" x14ac:dyDescent="0.25">
      <c r="A29" s="234">
        <v>2</v>
      </c>
      <c r="B29" s="224" t="s">
        <v>28</v>
      </c>
      <c r="C29" s="162">
        <f>VLOOKUP(B29,BLS!$B$7:$I$64,8,FALSE)</f>
        <v>0.81518125534057617</v>
      </c>
      <c r="D29" s="145">
        <f>C29*'AVG RAS salary'!$F$66</f>
        <v>56912.609738779516</v>
      </c>
      <c r="E29" s="235">
        <f>VLOOKUP(B29,'WF Need'!B30:F88,5,FALSE)</f>
        <v>157</v>
      </c>
      <c r="F29" s="238" t="str">
        <f t="shared" si="0"/>
        <v/>
      </c>
      <c r="G29" s="238" t="str">
        <f t="shared" si="1"/>
        <v/>
      </c>
      <c r="H29" s="243">
        <f t="shared" si="2"/>
        <v>56912.609738779516</v>
      </c>
      <c r="K29" s="225" t="str">
        <f t="shared" si="3"/>
        <v/>
      </c>
    </row>
    <row r="30" spans="1:11" x14ac:dyDescent="0.25">
      <c r="A30" s="234">
        <v>1</v>
      </c>
      <c r="B30" s="224" t="s">
        <v>13</v>
      </c>
      <c r="C30" s="162">
        <f>VLOOKUP(B30,BLS!$B$7:$I$64,8,FALSE)</f>
        <v>0.57061582803726196</v>
      </c>
      <c r="D30" s="145">
        <f>C30*'AVG RAS salary'!$F$66</f>
        <v>39838.055302544119</v>
      </c>
      <c r="E30" s="235">
        <f>VLOOKUP(B30,'WF Need'!B31:F89,5,FALSE)</f>
        <v>11</v>
      </c>
      <c r="F30" s="238" t="str">
        <f t="shared" si="0"/>
        <v>Yes</v>
      </c>
      <c r="G30" s="238" t="str">
        <f t="shared" si="1"/>
        <v>Yes</v>
      </c>
      <c r="H30" s="243">
        <f t="shared" si="2"/>
        <v>52942.992337079333</v>
      </c>
      <c r="K30" s="225">
        <f t="shared" si="3"/>
        <v>39838.055302544119</v>
      </c>
    </row>
    <row r="31" spans="1:11" x14ac:dyDescent="0.25">
      <c r="A31" s="234">
        <v>1</v>
      </c>
      <c r="B31" s="224" t="s">
        <v>14</v>
      </c>
      <c r="C31" s="162">
        <f>VLOOKUP(B31,BLS!$B$7:$I$64,8,FALSE)</f>
        <v>0.90321522951126099</v>
      </c>
      <c r="D31" s="145">
        <f>C31*'AVG RAS salary'!$F$66</f>
        <v>63058.780523382185</v>
      </c>
      <c r="E31" s="235">
        <f>VLOOKUP(B31,'WF Need'!B32:F90,5,FALSE)</f>
        <v>15</v>
      </c>
      <c r="F31" s="238" t="str">
        <f t="shared" si="0"/>
        <v>Yes</v>
      </c>
      <c r="G31" s="238" t="str">
        <f t="shared" si="1"/>
        <v/>
      </c>
      <c r="H31" s="243">
        <f t="shared" si="2"/>
        <v>63058.780523382185</v>
      </c>
      <c r="K31" s="225">
        <f t="shared" si="3"/>
        <v>63058.780523382185</v>
      </c>
    </row>
    <row r="32" spans="1:11" x14ac:dyDescent="0.25">
      <c r="A32" s="234">
        <v>3</v>
      </c>
      <c r="B32" s="224" t="s">
        <v>44</v>
      </c>
      <c r="C32" s="162">
        <f>VLOOKUP(B32,BLS!$B$7:$I$64,8,FALSE)</f>
        <v>1.1400796175003052</v>
      </c>
      <c r="D32" s="145">
        <f>C32*'AVG RAS salary'!$F$66</f>
        <v>79595.679999809974</v>
      </c>
      <c r="E32" s="235">
        <f>VLOOKUP(B32,'WF Need'!B33:F91,5,FALSE)</f>
        <v>207</v>
      </c>
      <c r="F32" s="238" t="str">
        <f t="shared" si="0"/>
        <v/>
      </c>
      <c r="G32" s="238" t="str">
        <f t="shared" si="1"/>
        <v/>
      </c>
      <c r="H32" s="243">
        <f t="shared" si="2"/>
        <v>79595.679999809974</v>
      </c>
      <c r="K32" s="225" t="str">
        <f t="shared" si="3"/>
        <v/>
      </c>
    </row>
    <row r="33" spans="1:11" x14ac:dyDescent="0.25">
      <c r="A33" s="234">
        <v>2</v>
      </c>
      <c r="B33" s="224" t="s">
        <v>29</v>
      </c>
      <c r="C33" s="162">
        <f>VLOOKUP(B33,BLS!$B$7:$I$64,8,FALSE)</f>
        <v>1.2633734941482544</v>
      </c>
      <c r="D33" s="145">
        <f>C33*'AVG RAS salary'!$F$66</f>
        <v>88203.55246850937</v>
      </c>
      <c r="E33" s="235">
        <f>VLOOKUP(B33,'WF Need'!B34:F92,5,FALSE)</f>
        <v>68</v>
      </c>
      <c r="F33" s="238" t="str">
        <f t="shared" si="0"/>
        <v/>
      </c>
      <c r="G33" s="238" t="str">
        <f t="shared" si="1"/>
        <v/>
      </c>
      <c r="H33" s="243">
        <f t="shared" si="2"/>
        <v>88203.55246850937</v>
      </c>
      <c r="K33" s="225" t="str">
        <f t="shared" si="3"/>
        <v/>
      </c>
    </row>
    <row r="34" spans="1:11" x14ac:dyDescent="0.25">
      <c r="A34" s="234">
        <v>2</v>
      </c>
      <c r="B34" s="224" t="s">
        <v>30</v>
      </c>
      <c r="C34" s="162">
        <f>VLOOKUP(B34,BLS!$B$7:$I$64,8,FALSE)</f>
        <v>1.072590708732605</v>
      </c>
      <c r="D34" s="145">
        <f>C34*'AVG RAS salary'!$F$66</f>
        <v>74883.881364563524</v>
      </c>
      <c r="E34" s="235">
        <f>VLOOKUP(B34,'WF Need'!B35:F93,5,FALSE)</f>
        <v>53</v>
      </c>
      <c r="F34" s="238" t="str">
        <f t="shared" si="0"/>
        <v/>
      </c>
      <c r="G34" s="238" t="str">
        <f t="shared" si="1"/>
        <v/>
      </c>
      <c r="H34" s="243">
        <f t="shared" si="2"/>
        <v>74883.881364563524</v>
      </c>
      <c r="K34" s="225" t="str">
        <f t="shared" si="3"/>
        <v/>
      </c>
    </row>
    <row r="35" spans="1:11" x14ac:dyDescent="0.25">
      <c r="A35" s="234">
        <v>4</v>
      </c>
      <c r="B35" s="224" t="s">
        <v>55</v>
      </c>
      <c r="C35" s="162">
        <f>VLOOKUP(B35,BLS!$B$7:$I$64,8,FALSE)</f>
        <v>1.2518496513366699</v>
      </c>
      <c r="D35" s="145">
        <f>C35*'AVG RAS salary'!$F$66</f>
        <v>87399.005057329341</v>
      </c>
      <c r="E35" s="235">
        <f>VLOOKUP(B35,'WF Need'!B36:F94,5,FALSE)</f>
        <v>1354</v>
      </c>
      <c r="F35" s="238" t="str">
        <f t="shared" si="0"/>
        <v/>
      </c>
      <c r="G35" s="238" t="str">
        <f t="shared" si="1"/>
        <v/>
      </c>
      <c r="H35" s="243">
        <f t="shared" si="2"/>
        <v>87399.005057329341</v>
      </c>
      <c r="K35" s="225" t="str">
        <f t="shared" si="3"/>
        <v/>
      </c>
    </row>
    <row r="36" spans="1:11" x14ac:dyDescent="0.25">
      <c r="A36" s="234">
        <v>2</v>
      </c>
      <c r="B36" s="224" t="s">
        <v>31</v>
      </c>
      <c r="C36" s="162">
        <f>VLOOKUP(B36,BLS!$B$7:$I$64,8,FALSE)</f>
        <v>1.1998845338821411</v>
      </c>
      <c r="D36" s="145">
        <f>C36*'AVG RAS salary'!$F$66</f>
        <v>83771.013821829416</v>
      </c>
      <c r="E36" s="235">
        <f>VLOOKUP(B36,'WF Need'!B37:F95,5,FALSE)</f>
        <v>173</v>
      </c>
      <c r="F36" s="238" t="str">
        <f t="shared" si="0"/>
        <v/>
      </c>
      <c r="G36" s="238" t="str">
        <f t="shared" si="1"/>
        <v/>
      </c>
      <c r="H36" s="243">
        <f t="shared" si="2"/>
        <v>83771.013821829416</v>
      </c>
      <c r="K36" s="225" t="str">
        <f t="shared" si="3"/>
        <v/>
      </c>
    </row>
    <row r="37" spans="1:11" x14ac:dyDescent="0.25">
      <c r="A37" s="234">
        <v>1</v>
      </c>
      <c r="B37" s="224" t="s">
        <v>15</v>
      </c>
      <c r="C37" s="162">
        <f>VLOOKUP(B37,BLS!$B$7:$I$64,8,FALSE)</f>
        <v>0.69775265455245972</v>
      </c>
      <c r="D37" s="145">
        <f>C37*'AVG RAS salary'!$F$66</f>
        <v>48714.226759483907</v>
      </c>
      <c r="E37" s="235">
        <f>VLOOKUP(B37,'WF Need'!B38:F96,5,FALSE)</f>
        <v>15</v>
      </c>
      <c r="F37" s="238" t="str">
        <f t="shared" si="0"/>
        <v>Yes</v>
      </c>
      <c r="G37" s="238" t="str">
        <f t="shared" si="1"/>
        <v>Yes</v>
      </c>
      <c r="H37" s="243">
        <f t="shared" si="2"/>
        <v>52942.992337079333</v>
      </c>
      <c r="K37" s="225">
        <f t="shared" si="3"/>
        <v>48714.226759483907</v>
      </c>
    </row>
    <row r="38" spans="1:11" x14ac:dyDescent="0.25">
      <c r="A38" s="234">
        <v>4</v>
      </c>
      <c r="B38" s="224" t="s">
        <v>56</v>
      </c>
      <c r="C38" s="162">
        <f>VLOOKUP(B38,BLS!$B$7:$I$64,8,FALSE)</f>
        <v>1.1231371164321899</v>
      </c>
      <c r="D38" s="145">
        <f>C38*'AVG RAS salary'!$F$66</f>
        <v>78412.824107367211</v>
      </c>
      <c r="E38" s="235">
        <f>VLOOKUP(B38,'WF Need'!B39:F97,5,FALSE)</f>
        <v>1037</v>
      </c>
      <c r="F38" s="238" t="str">
        <f t="shared" si="0"/>
        <v/>
      </c>
      <c r="G38" s="238" t="str">
        <f t="shared" si="1"/>
        <v/>
      </c>
      <c r="H38" s="243">
        <f t="shared" si="2"/>
        <v>78412.824107367211</v>
      </c>
      <c r="K38" s="225" t="str">
        <f t="shared" si="3"/>
        <v/>
      </c>
    </row>
    <row r="39" spans="1:11" x14ac:dyDescent="0.25">
      <c r="A39" s="234">
        <v>4</v>
      </c>
      <c r="B39" s="224" t="s">
        <v>57</v>
      </c>
      <c r="C39" s="162">
        <f>VLOOKUP(B39,BLS!$B$7:$I$64,8,FALSE)</f>
        <v>1.3313934803009033</v>
      </c>
      <c r="D39" s="145">
        <f>C39*'AVG RAS salary'!$F$66</f>
        <v>92952.428747227954</v>
      </c>
      <c r="E39" s="235">
        <f>VLOOKUP(B39,'WF Need'!B40:F98,5,FALSE)</f>
        <v>707</v>
      </c>
      <c r="F39" s="238" t="str">
        <f t="shared" si="0"/>
        <v/>
      </c>
      <c r="G39" s="238" t="str">
        <f t="shared" si="1"/>
        <v/>
      </c>
      <c r="H39" s="243">
        <f t="shared" si="2"/>
        <v>92952.428747227954</v>
      </c>
      <c r="K39" s="225" t="str">
        <f t="shared" si="3"/>
        <v/>
      </c>
    </row>
    <row r="40" spans="1:11" x14ac:dyDescent="0.25">
      <c r="A40" s="234">
        <v>1</v>
      </c>
      <c r="B40" s="224" t="s">
        <v>16</v>
      </c>
      <c r="C40" s="162">
        <f>VLOOKUP(B40,BLS!$B$7:$I$64,8,FALSE)</f>
        <v>1.0250949859619141</v>
      </c>
      <c r="D40" s="145">
        <f>C40*'AVG RAS salary'!$F$66</f>
        <v>71567.924923464714</v>
      </c>
      <c r="E40" s="235">
        <f>VLOOKUP(B40,'WF Need'!B41:F99,5,FALSE)</f>
        <v>32</v>
      </c>
      <c r="F40" s="238" t="str">
        <f t="shared" si="0"/>
        <v>Yes</v>
      </c>
      <c r="G40" s="238" t="str">
        <f t="shared" si="1"/>
        <v/>
      </c>
      <c r="H40" s="243">
        <f t="shared" si="2"/>
        <v>71567.924923464714</v>
      </c>
      <c r="K40" s="225">
        <f t="shared" si="3"/>
        <v>71567.924923464714</v>
      </c>
    </row>
    <row r="41" spans="1:11" x14ac:dyDescent="0.25">
      <c r="A41" s="234">
        <v>4</v>
      </c>
      <c r="B41" s="224" t="s">
        <v>58</v>
      </c>
      <c r="C41" s="162">
        <f>VLOOKUP(B41,BLS!$B$7:$I$64,8,FALSE)</f>
        <v>1.0805317163467407</v>
      </c>
      <c r="D41" s="145">
        <f>C41*'AVG RAS salary'!$F$66</f>
        <v>75438.289926236306</v>
      </c>
      <c r="E41" s="235">
        <f>VLOOKUP(B41,'WF Need'!B42:F100,5,FALSE)</f>
        <v>1179</v>
      </c>
      <c r="F41" s="238" t="str">
        <f t="shared" si="0"/>
        <v/>
      </c>
      <c r="G41" s="238" t="str">
        <f t="shared" si="1"/>
        <v/>
      </c>
      <c r="H41" s="243">
        <f t="shared" si="2"/>
        <v>75438.289926236306</v>
      </c>
      <c r="K41" s="225" t="str">
        <f t="shared" si="3"/>
        <v/>
      </c>
    </row>
    <row r="42" spans="1:11" x14ac:dyDescent="0.25">
      <c r="A42" s="234">
        <v>4</v>
      </c>
      <c r="B42" s="224" t="s">
        <v>59</v>
      </c>
      <c r="C42" s="162">
        <f>VLOOKUP(B42,BLS!$B$7:$I$64,8,FALSE)</f>
        <v>1.1675233840942383</v>
      </c>
      <c r="D42" s="145">
        <f>C42*'AVG RAS salary'!$F$66</f>
        <v>81511.691154004293</v>
      </c>
      <c r="E42" s="235">
        <f>VLOOKUP(B42,'WF Need'!B43:F101,5,FALSE)</f>
        <v>1191</v>
      </c>
      <c r="F42" s="238" t="str">
        <f t="shared" si="0"/>
        <v/>
      </c>
      <c r="G42" s="238" t="str">
        <f t="shared" si="1"/>
        <v/>
      </c>
      <c r="H42" s="243">
        <f t="shared" si="2"/>
        <v>81511.691154004293</v>
      </c>
      <c r="K42" s="225" t="str">
        <f t="shared" si="3"/>
        <v/>
      </c>
    </row>
    <row r="43" spans="1:11" x14ac:dyDescent="0.25">
      <c r="A43" s="234">
        <v>3</v>
      </c>
      <c r="B43" s="224" t="s">
        <v>60</v>
      </c>
      <c r="C43" s="162">
        <f>VLOOKUP(B43,BLS!$B$7:$I$64,8,FALSE)</f>
        <v>1.6328885555267334</v>
      </c>
      <c r="D43" s="145">
        <f>C43*'AVG RAS salary'!$F$66</f>
        <v>114001.57756177326</v>
      </c>
      <c r="E43" s="235">
        <f>VLOOKUP(B43,'WF Need'!B44:F102,5,FALSE)</f>
        <v>305</v>
      </c>
      <c r="F43" s="238" t="str">
        <f t="shared" si="0"/>
        <v/>
      </c>
      <c r="G43" s="238" t="str">
        <f t="shared" si="1"/>
        <v/>
      </c>
      <c r="H43" s="243">
        <f t="shared" si="2"/>
        <v>114001.57756177326</v>
      </c>
      <c r="K43" s="225" t="str">
        <f t="shared" si="3"/>
        <v/>
      </c>
    </row>
    <row r="44" spans="1:11" x14ac:dyDescent="0.25">
      <c r="A44" s="234">
        <v>3</v>
      </c>
      <c r="B44" s="224" t="s">
        <v>45</v>
      </c>
      <c r="C44" s="162">
        <f>VLOOKUP(B44,BLS!$B$7:$I$64,8,FALSE)</f>
        <v>1.0498523712158203</v>
      </c>
      <c r="D44" s="145">
        <f>C44*'AVG RAS salary'!$F$66</f>
        <v>73296.383957424609</v>
      </c>
      <c r="E44" s="235">
        <f>VLOOKUP(B44,'WF Need'!B45:F103,5,FALSE)</f>
        <v>391</v>
      </c>
      <c r="F44" s="238" t="str">
        <f t="shared" si="0"/>
        <v/>
      </c>
      <c r="G44" s="238" t="str">
        <f t="shared" si="1"/>
        <v/>
      </c>
      <c r="H44" s="243">
        <f t="shared" si="2"/>
        <v>73296.383957424609</v>
      </c>
      <c r="K44" s="225" t="str">
        <f t="shared" si="3"/>
        <v/>
      </c>
    </row>
    <row r="45" spans="1:11" x14ac:dyDescent="0.25">
      <c r="A45" s="234">
        <v>2</v>
      </c>
      <c r="B45" s="224" t="s">
        <v>32</v>
      </c>
      <c r="C45" s="162">
        <f>VLOOKUP(B45,BLS!$B$7:$I$64,8,FALSE)</f>
        <v>1.0498647689819336</v>
      </c>
      <c r="D45" s="145">
        <f>C45*'AVG RAS salary'!$F$66</f>
        <v>73297.249518574128</v>
      </c>
      <c r="E45" s="235">
        <f>VLOOKUP(B45,'WF Need'!B46:F104,5,FALSE)</f>
        <v>146</v>
      </c>
      <c r="F45" s="238" t="str">
        <f t="shared" si="0"/>
        <v/>
      </c>
      <c r="G45" s="238" t="str">
        <f t="shared" si="1"/>
        <v/>
      </c>
      <c r="H45" s="243">
        <f t="shared" si="2"/>
        <v>73297.249518574128</v>
      </c>
      <c r="K45" s="225" t="str">
        <f t="shared" si="3"/>
        <v/>
      </c>
    </row>
    <row r="46" spans="1:11" x14ac:dyDescent="0.25">
      <c r="A46" s="234">
        <v>3</v>
      </c>
      <c r="B46" s="224" t="s">
        <v>46</v>
      </c>
      <c r="C46" s="162">
        <f>VLOOKUP(B46,BLS!$B$7:$I$64,8,FALSE)</f>
        <v>1.5021858215332031</v>
      </c>
      <c r="D46" s="145">
        <f>C46*'AVG RAS salary'!$F$66</f>
        <v>104876.44907920345</v>
      </c>
      <c r="E46" s="235">
        <f>VLOOKUP(B46,'WF Need'!B47:F105,5,FALSE)</f>
        <v>266</v>
      </c>
      <c r="F46" s="238" t="str">
        <f t="shared" si="0"/>
        <v/>
      </c>
      <c r="G46" s="238" t="str">
        <f t="shared" si="1"/>
        <v/>
      </c>
      <c r="H46" s="243">
        <f t="shared" si="2"/>
        <v>104876.44907920345</v>
      </c>
      <c r="K46" s="225" t="str">
        <f t="shared" si="3"/>
        <v/>
      </c>
    </row>
    <row r="47" spans="1:11" x14ac:dyDescent="0.25">
      <c r="A47" s="234">
        <v>3</v>
      </c>
      <c r="B47" s="224" t="s">
        <v>47</v>
      </c>
      <c r="C47" s="162">
        <f>VLOOKUP(B47,BLS!$B$7:$I$64,8,FALSE)</f>
        <v>1.2230195999145508</v>
      </c>
      <c r="D47" s="145">
        <f>C47*'AVG RAS salary'!$F$66</f>
        <v>85386.209185752901</v>
      </c>
      <c r="E47" s="235">
        <f>VLOOKUP(B47,'WF Need'!B48:F106,5,FALSE)</f>
        <v>197</v>
      </c>
      <c r="F47" s="238" t="str">
        <f t="shared" si="0"/>
        <v/>
      </c>
      <c r="G47" s="238" t="str">
        <f t="shared" si="1"/>
        <v/>
      </c>
      <c r="H47" s="243">
        <f t="shared" si="2"/>
        <v>85386.209185752901</v>
      </c>
      <c r="K47" s="225" t="str">
        <f t="shared" si="3"/>
        <v/>
      </c>
    </row>
    <row r="48" spans="1:11" x14ac:dyDescent="0.25">
      <c r="A48" s="234">
        <v>4</v>
      </c>
      <c r="B48" s="224" t="s">
        <v>61</v>
      </c>
      <c r="C48" s="162">
        <f>VLOOKUP(B48,BLS!$B$7:$I$64,8,FALSE)</f>
        <v>1.4827224016189575</v>
      </c>
      <c r="D48" s="145">
        <f>C48*'AVG RAS salary'!$F$66</f>
        <v>103517.59297879097</v>
      </c>
      <c r="E48" s="235">
        <f>VLOOKUP(B48,'WF Need'!B49:F107,5,FALSE)</f>
        <v>571</v>
      </c>
      <c r="F48" s="238" t="str">
        <f t="shared" si="0"/>
        <v/>
      </c>
      <c r="G48" s="238" t="str">
        <f t="shared" si="1"/>
        <v/>
      </c>
      <c r="H48" s="243">
        <f t="shared" si="2"/>
        <v>103517.59297879097</v>
      </c>
      <c r="K48" s="225" t="str">
        <f t="shared" si="3"/>
        <v/>
      </c>
    </row>
    <row r="49" spans="1:11" x14ac:dyDescent="0.25">
      <c r="A49" s="234">
        <v>2</v>
      </c>
      <c r="B49" s="224" t="s">
        <v>33</v>
      </c>
      <c r="C49" s="162">
        <f>VLOOKUP(B49,BLS!$B$7:$I$64,8,FALSE)</f>
        <v>1.1644649505615234</v>
      </c>
      <c r="D49" s="145">
        <f>C49*'AVG RAS salary'!$F$66</f>
        <v>81298.163876580977</v>
      </c>
      <c r="E49" s="235">
        <f>VLOOKUP(B49,'WF Need'!B50:F108,5,FALSE)</f>
        <v>124</v>
      </c>
      <c r="F49" s="238" t="str">
        <f t="shared" si="0"/>
        <v/>
      </c>
      <c r="G49" s="238" t="str">
        <f t="shared" si="1"/>
        <v/>
      </c>
      <c r="H49" s="243">
        <f t="shared" si="2"/>
        <v>81298.163876580977</v>
      </c>
      <c r="K49" s="225" t="str">
        <f t="shared" si="3"/>
        <v/>
      </c>
    </row>
    <row r="50" spans="1:11" x14ac:dyDescent="0.25">
      <c r="A50" s="234">
        <v>2</v>
      </c>
      <c r="B50" s="224" t="s">
        <v>34</v>
      </c>
      <c r="C50" s="162">
        <f>VLOOKUP(B50,BLS!$B$7:$I$64,8,FALSE)</f>
        <v>0.87440097332000732</v>
      </c>
      <c r="D50" s="145">
        <f>C50*'AVG RAS salary'!$F$66</f>
        <v>61047.087410001048</v>
      </c>
      <c r="E50" s="235">
        <f>VLOOKUP(B50,'WF Need'!B51:F109,5,FALSE)</f>
        <v>160</v>
      </c>
      <c r="F50" s="238" t="str">
        <f t="shared" si="0"/>
        <v/>
      </c>
      <c r="G50" s="238" t="str">
        <f t="shared" si="1"/>
        <v/>
      </c>
      <c r="H50" s="243">
        <f t="shared" si="2"/>
        <v>61047.087410001048</v>
      </c>
      <c r="K50" s="225" t="str">
        <f t="shared" si="3"/>
        <v/>
      </c>
    </row>
    <row r="51" spans="1:11" x14ac:dyDescent="0.25">
      <c r="A51" s="234">
        <v>1</v>
      </c>
      <c r="B51" s="224" t="s">
        <v>17</v>
      </c>
      <c r="C51" s="162">
        <f>VLOOKUP(B51,BLS!$B$7:$I$64,8,FALSE)</f>
        <v>0.62195944786071777</v>
      </c>
      <c r="D51" s="145">
        <f>C51*'AVG RAS salary'!$F$66</f>
        <v>43422.65612407279</v>
      </c>
      <c r="E51" s="235">
        <f>VLOOKUP(B51,'WF Need'!B52:F110,5,FALSE)</f>
        <v>3</v>
      </c>
      <c r="F51" s="238" t="str">
        <f t="shared" si="0"/>
        <v>Yes</v>
      </c>
      <c r="G51" s="238" t="str">
        <f t="shared" si="1"/>
        <v>Yes</v>
      </c>
      <c r="H51" s="243">
        <f t="shared" si="2"/>
        <v>52942.992337079333</v>
      </c>
      <c r="K51" s="225">
        <f t="shared" si="3"/>
        <v>43422.65612407279</v>
      </c>
    </row>
    <row r="52" spans="1:11" x14ac:dyDescent="0.25">
      <c r="A52" s="234">
        <v>2</v>
      </c>
      <c r="B52" s="224" t="s">
        <v>35</v>
      </c>
      <c r="C52" s="162">
        <f>VLOOKUP(B52,BLS!$B$7:$I$64,8,FALSE)</f>
        <v>0.68621337413787842</v>
      </c>
      <c r="D52" s="145">
        <f>C52*'AVG RAS salary'!$F$66</f>
        <v>47908.601558218659</v>
      </c>
      <c r="E52" s="235">
        <f>VLOOKUP(B52,'WF Need'!B53:F111,5,FALSE)</f>
        <v>39</v>
      </c>
      <c r="F52" s="238" t="str">
        <f t="shared" si="0"/>
        <v>Yes</v>
      </c>
      <c r="G52" s="238" t="str">
        <f t="shared" si="1"/>
        <v>Yes</v>
      </c>
      <c r="H52" s="243">
        <f t="shared" si="2"/>
        <v>52942.992337079333</v>
      </c>
      <c r="K52" s="225">
        <f t="shared" si="3"/>
        <v>47908.601558218659</v>
      </c>
    </row>
    <row r="53" spans="1:11" x14ac:dyDescent="0.25">
      <c r="A53" s="234">
        <v>3</v>
      </c>
      <c r="B53" s="224" t="s">
        <v>48</v>
      </c>
      <c r="C53" s="162">
        <f>VLOOKUP(B53,BLS!$B$7:$I$64,8,FALSE)</f>
        <v>1.2054431438446045</v>
      </c>
      <c r="D53" s="145">
        <f>C53*'AVG RAS salary'!$F$66</f>
        <v>84159.093156837684</v>
      </c>
      <c r="E53" s="235">
        <f>VLOOKUP(B53,'WF Need'!B54:F112,5,FALSE)</f>
        <v>203</v>
      </c>
      <c r="F53" s="238" t="str">
        <f t="shared" si="0"/>
        <v/>
      </c>
      <c r="G53" s="238" t="str">
        <f t="shared" si="1"/>
        <v/>
      </c>
      <c r="H53" s="243">
        <f t="shared" si="2"/>
        <v>84159.093156837684</v>
      </c>
      <c r="K53" s="225" t="str">
        <f t="shared" si="3"/>
        <v/>
      </c>
    </row>
    <row r="54" spans="1:11" x14ac:dyDescent="0.25">
      <c r="A54" s="234">
        <v>3</v>
      </c>
      <c r="B54" s="224" t="s">
        <v>49</v>
      </c>
      <c r="C54" s="162">
        <f>VLOOKUP(B54,BLS!$B$7:$I$64,8,FALSE)</f>
        <v>1.2021440267562866</v>
      </c>
      <c r="D54" s="145">
        <f>C54*'AVG RAS salary'!$F$66</f>
        <v>83928.762341329013</v>
      </c>
      <c r="E54" s="235">
        <f>VLOOKUP(B54,'WF Need'!B55:F113,5,FALSE)</f>
        <v>208</v>
      </c>
      <c r="F54" s="238" t="str">
        <f t="shared" si="0"/>
        <v/>
      </c>
      <c r="G54" s="238" t="str">
        <f t="shared" si="1"/>
        <v/>
      </c>
      <c r="H54" s="243">
        <f t="shared" si="2"/>
        <v>83928.762341329013</v>
      </c>
      <c r="K54" s="225" t="str">
        <f t="shared" si="3"/>
        <v/>
      </c>
    </row>
    <row r="55" spans="1:11" x14ac:dyDescent="0.25">
      <c r="A55" s="234">
        <v>3</v>
      </c>
      <c r="B55" s="224" t="s">
        <v>50</v>
      </c>
      <c r="C55" s="162">
        <f>VLOOKUP(B55,BLS!$B$7:$I$64,8,FALSE)</f>
        <v>1.030239462852478</v>
      </c>
      <c r="D55" s="145">
        <f>C55*'AVG RAS salary'!$F$66</f>
        <v>71927.091186997743</v>
      </c>
      <c r="E55" s="235">
        <f>VLOOKUP(B55,'WF Need'!B56:F114,5,FALSE)</f>
        <v>265</v>
      </c>
      <c r="F55" s="238" t="str">
        <f t="shared" si="0"/>
        <v/>
      </c>
      <c r="G55" s="238" t="str">
        <f t="shared" si="1"/>
        <v/>
      </c>
      <c r="H55" s="243">
        <f t="shared" si="2"/>
        <v>71927.091186997743</v>
      </c>
      <c r="K55" s="225" t="str">
        <f t="shared" si="3"/>
        <v/>
      </c>
    </row>
    <row r="56" spans="1:11" x14ac:dyDescent="0.25">
      <c r="A56" s="234">
        <v>2</v>
      </c>
      <c r="B56" s="224" t="s">
        <v>36</v>
      </c>
      <c r="C56" s="162">
        <f>VLOOKUP(B56,BLS!$B$7:$I$64,8,FALSE)</f>
        <v>0.96395248174667358</v>
      </c>
      <c r="D56" s="145">
        <f>C56*'AVG RAS salary'!$F$66</f>
        <v>67299.206208386022</v>
      </c>
      <c r="E56" s="235">
        <f>VLOOKUP(B56,'WF Need'!B57:F115,5,FALSE)</f>
        <v>68</v>
      </c>
      <c r="F56" s="238" t="str">
        <f t="shared" si="0"/>
        <v/>
      </c>
      <c r="G56" s="238" t="str">
        <f t="shared" si="1"/>
        <v/>
      </c>
      <c r="H56" s="243">
        <f t="shared" si="2"/>
        <v>67299.206208386022</v>
      </c>
      <c r="K56" s="225" t="str">
        <f t="shared" si="3"/>
        <v/>
      </c>
    </row>
    <row r="57" spans="1:11" x14ac:dyDescent="0.25">
      <c r="A57" s="234">
        <v>2</v>
      </c>
      <c r="B57" s="224" t="s">
        <v>37</v>
      </c>
      <c r="C57" s="162">
        <f>VLOOKUP(B57,BLS!$B$7:$I$64,8,FALSE)</f>
        <v>0.7699698805809021</v>
      </c>
      <c r="D57" s="145">
        <f>C57*'AVG RAS salary'!$F$66</f>
        <v>53756.137100831016</v>
      </c>
      <c r="E57" s="235">
        <f>VLOOKUP(B57,'WF Need'!B58:F116,5,FALSE)</f>
        <v>57</v>
      </c>
      <c r="F57" s="238" t="str">
        <f t="shared" si="0"/>
        <v/>
      </c>
      <c r="G57" s="238" t="str">
        <f t="shared" si="1"/>
        <v/>
      </c>
      <c r="H57" s="243">
        <f t="shared" si="2"/>
        <v>53756.137100831016</v>
      </c>
      <c r="K57" s="225" t="str">
        <f t="shared" si="3"/>
        <v/>
      </c>
    </row>
    <row r="58" spans="1:11" x14ac:dyDescent="0.25">
      <c r="A58" s="234">
        <v>1</v>
      </c>
      <c r="B58" s="224" t="s">
        <v>18</v>
      </c>
      <c r="C58" s="162">
        <f>VLOOKUP(B58,BLS!$B$7:$I$64,8,FALSE)</f>
        <v>0.69043588638305664</v>
      </c>
      <c r="D58" s="145">
        <f>C58*'AVG RAS salary'!$F$66</f>
        <v>48203.400033959668</v>
      </c>
      <c r="E58" s="235">
        <f>VLOOKUP(B58,'WF Need'!B59:F117,5,FALSE)</f>
        <v>16</v>
      </c>
      <c r="F58" s="238" t="str">
        <f t="shared" si="0"/>
        <v>Yes</v>
      </c>
      <c r="G58" s="238" t="str">
        <f t="shared" si="1"/>
        <v>Yes</v>
      </c>
      <c r="H58" s="243">
        <f t="shared" si="2"/>
        <v>52942.992337079333</v>
      </c>
      <c r="K58" s="225">
        <f t="shared" si="3"/>
        <v>48203.400033959668</v>
      </c>
    </row>
    <row r="59" spans="1:11" x14ac:dyDescent="0.25">
      <c r="A59" s="234">
        <v>3</v>
      </c>
      <c r="B59" s="224" t="s">
        <v>51</v>
      </c>
      <c r="C59" s="162">
        <f>VLOOKUP(B59,BLS!$B$7:$I$64,8,FALSE)</f>
        <v>0.95116817951202393</v>
      </c>
      <c r="D59" s="145">
        <f>C59*'AVG RAS salary'!$F$66</f>
        <v>66406.658693221136</v>
      </c>
      <c r="E59" s="235">
        <f>VLOOKUP(B59,'WF Need'!B60:F118,5,FALSE)</f>
        <v>264</v>
      </c>
      <c r="F59" s="238" t="str">
        <f t="shared" si="0"/>
        <v/>
      </c>
      <c r="G59" s="238" t="str">
        <f t="shared" si="1"/>
        <v/>
      </c>
      <c r="H59" s="243">
        <f t="shared" si="2"/>
        <v>66406.658693221136</v>
      </c>
      <c r="K59" s="225" t="str">
        <f t="shared" si="3"/>
        <v/>
      </c>
    </row>
    <row r="60" spans="1:11" x14ac:dyDescent="0.25">
      <c r="A60" s="234">
        <v>2</v>
      </c>
      <c r="B60" s="224" t="s">
        <v>38</v>
      </c>
      <c r="C60" s="162">
        <f>VLOOKUP(B60,BLS!$B$7:$I$64,8,FALSE)</f>
        <v>0.80789661407470703</v>
      </c>
      <c r="D60" s="145">
        <f>C60*'AVG RAS salary'!$F$66</f>
        <v>56404.025981810999</v>
      </c>
      <c r="E60" s="235">
        <f>VLOOKUP(B60,'WF Need'!B61:F119,5,FALSE)</f>
        <v>45</v>
      </c>
      <c r="F60" s="238" t="str">
        <f t="shared" si="0"/>
        <v>Yes</v>
      </c>
      <c r="G60" s="238" t="str">
        <f t="shared" si="1"/>
        <v/>
      </c>
      <c r="H60" s="243">
        <f t="shared" si="2"/>
        <v>56404.025981810999</v>
      </c>
      <c r="K60" s="225">
        <f t="shared" si="3"/>
        <v>56404.025981810999</v>
      </c>
    </row>
    <row r="61" spans="1:11" x14ac:dyDescent="0.25">
      <c r="A61" s="234">
        <v>3</v>
      </c>
      <c r="B61" s="224" t="s">
        <v>52</v>
      </c>
      <c r="C61" s="162">
        <f>VLOOKUP(B61,BLS!$B$7:$I$64,8,FALSE)</f>
        <v>1.2536715269088745</v>
      </c>
      <c r="D61" s="145">
        <f>C61*'AVG RAS salary'!$F$66</f>
        <v>87526.200932791631</v>
      </c>
      <c r="E61" s="235">
        <f>VLOOKUP(B61,'WF Need'!B62:F120,5,FALSE)</f>
        <v>332</v>
      </c>
      <c r="F61" s="238" t="str">
        <f t="shared" si="0"/>
        <v/>
      </c>
      <c r="G61" s="238" t="str">
        <f t="shared" si="1"/>
        <v/>
      </c>
      <c r="H61" s="243">
        <f t="shared" si="2"/>
        <v>87526.200932791631</v>
      </c>
      <c r="K61" s="225" t="str">
        <f t="shared" si="3"/>
        <v/>
      </c>
    </row>
    <row r="62" spans="1:11" x14ac:dyDescent="0.25">
      <c r="A62" s="234">
        <v>2</v>
      </c>
      <c r="B62" s="224" t="s">
        <v>39</v>
      </c>
      <c r="C62" s="162">
        <f>VLOOKUP(B62,BLS!$B$7:$I$64,8,FALSE)</f>
        <v>1.1032428741455078</v>
      </c>
      <c r="D62" s="145">
        <f>C62*'AVG RAS salary'!$F$66</f>
        <v>77023.88975700899</v>
      </c>
      <c r="E62" s="235">
        <f>VLOOKUP(B62,'WF Need'!B63:F121,5,FALSE)</f>
        <v>115</v>
      </c>
      <c r="F62" s="238" t="str">
        <f t="shared" si="0"/>
        <v/>
      </c>
      <c r="G62" s="238" t="str">
        <f t="shared" si="1"/>
        <v/>
      </c>
      <c r="H62" s="243">
        <f t="shared" si="2"/>
        <v>77023.88975700899</v>
      </c>
      <c r="K62" s="225" t="str">
        <f t="shared" si="3"/>
        <v/>
      </c>
    </row>
    <row r="63" spans="1:11" x14ac:dyDescent="0.25">
      <c r="A63" s="234">
        <v>2</v>
      </c>
      <c r="B63" s="224" t="s">
        <v>40</v>
      </c>
      <c r="C63" s="162">
        <f>VLOOKUP(B63,BLS!$B$7:$I$64,8,FALSE)</f>
        <v>0.95343595743179321</v>
      </c>
      <c r="D63" s="145">
        <f>C63*'AVG RAS salary'!$F$66</f>
        <v>66564.985640604311</v>
      </c>
      <c r="E63" s="235">
        <f>VLOOKUP(B63,'WF Need'!B64:F122,5,FALSE)</f>
        <v>52</v>
      </c>
      <c r="F63" s="238" t="str">
        <f t="shared" si="0"/>
        <v/>
      </c>
      <c r="G63" s="238" t="str">
        <f t="shared" si="1"/>
        <v/>
      </c>
      <c r="H63" s="243">
        <f t="shared" si="2"/>
        <v>66564.985640604311</v>
      </c>
      <c r="K63" s="225" t="str">
        <f>IF(F63="Yes",D63,"")</f>
        <v/>
      </c>
    </row>
    <row r="64" spans="1:11" x14ac:dyDescent="0.25">
      <c r="C64" s="226"/>
      <c r="D64" s="284"/>
      <c r="E64" s="115"/>
      <c r="K64" s="228">
        <f>MEDIAN(K6:K63)</f>
        <v>52942.992337079333</v>
      </c>
    </row>
    <row r="65" spans="1:11" x14ac:dyDescent="0.25">
      <c r="B65" s="232"/>
      <c r="C65" s="259"/>
      <c r="E65" s="227"/>
      <c r="K65" s="228"/>
    </row>
    <row r="66" spans="1:11" ht="18.95" customHeight="1" x14ac:dyDescent="0.25">
      <c r="A66" s="229"/>
      <c r="B66" s="230"/>
      <c r="C66" s="230"/>
      <c r="D66" s="246" t="s">
        <v>77</v>
      </c>
      <c r="G66" s="241" t="s">
        <v>77</v>
      </c>
      <c r="H66" s="249">
        <f>K64</f>
        <v>52942.992337079333</v>
      </c>
    </row>
    <row r="67" spans="1:11" x14ac:dyDescent="0.25">
      <c r="A67" s="230"/>
      <c r="B67" s="231"/>
      <c r="C67" s="110"/>
      <c r="D67" s="163">
        <f>K64</f>
        <v>52942.992337079333</v>
      </c>
    </row>
  </sheetData>
  <sortState ref="A5:K62">
    <sortCondition ref="B5:B62"/>
  </sortState>
  <mergeCells count="2">
    <mergeCell ref="A4:A5"/>
    <mergeCell ref="B4:B5"/>
  </mergeCells>
  <conditionalFormatting sqref="F4:H4">
    <cfRule type="cellIs" dxfId="1" priority="1" operator="equal">
      <formula>"No"</formula>
    </cfRule>
  </conditionalFormatting>
  <printOptions horizontalCentered="1"/>
  <pageMargins left="0.25" right="0.25" top="0.5" bottom="0.25" header="0.3" footer="0.3"/>
  <pageSetup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69"/>
  <sheetViews>
    <sheetView zoomScaleNormal="100" workbookViewId="0">
      <pane xSplit="1" ySplit="6" topLeftCell="B7" activePane="bottomRight" state="frozen"/>
      <selection pane="topRight" activeCell="B1" sqref="B1"/>
      <selection pane="bottomLeft" activeCell="A7" sqref="A7"/>
      <selection pane="bottomRight" activeCell="G7" sqref="G7"/>
    </sheetView>
  </sheetViews>
  <sheetFormatPr defaultColWidth="9.140625" defaultRowHeight="15" x14ac:dyDescent="0.25"/>
  <cols>
    <col min="1" max="1" width="16.140625" style="164" customWidth="1"/>
    <col min="2" max="2" width="15.85546875" style="164" bestFit="1" customWidth="1"/>
    <col min="3" max="3" width="15.5703125" style="164" bestFit="1" customWidth="1"/>
    <col min="4" max="4" width="16.42578125" style="164" customWidth="1"/>
    <col min="5" max="5" width="16.42578125" style="164" bestFit="1" customWidth="1"/>
    <col min="6" max="6" width="15.42578125" style="164" customWidth="1"/>
    <col min="7" max="7" width="19.140625" style="164" customWidth="1"/>
    <col min="8" max="16384" width="9.140625" style="164"/>
  </cols>
  <sheetData>
    <row r="1" spans="1:7" ht="18.75" x14ac:dyDescent="0.25">
      <c r="A1" s="174" t="s">
        <v>123</v>
      </c>
    </row>
    <row r="2" spans="1:7" x14ac:dyDescent="0.25">
      <c r="A2" s="50" t="s">
        <v>235</v>
      </c>
    </row>
    <row r="4" spans="1:7" x14ac:dyDescent="0.25">
      <c r="B4" s="335" t="s">
        <v>234</v>
      </c>
      <c r="C4" s="336"/>
    </row>
    <row r="5" spans="1:7" ht="60" x14ac:dyDescent="0.25">
      <c r="A5" s="337" t="s">
        <v>63</v>
      </c>
      <c r="B5" s="218" t="s">
        <v>183</v>
      </c>
      <c r="C5" s="218" t="s">
        <v>182</v>
      </c>
      <c r="D5" s="251" t="s">
        <v>196</v>
      </c>
      <c r="E5" s="219" t="s">
        <v>197</v>
      </c>
      <c r="F5" s="251" t="s">
        <v>198</v>
      </c>
      <c r="G5" s="251" t="s">
        <v>199</v>
      </c>
    </row>
    <row r="6" spans="1:7" x14ac:dyDescent="0.25">
      <c r="A6" s="338"/>
      <c r="B6" s="82" t="s">
        <v>65</v>
      </c>
      <c r="C6" s="82" t="s">
        <v>1</v>
      </c>
      <c r="D6" s="82" t="s">
        <v>66</v>
      </c>
      <c r="E6" s="82" t="s">
        <v>2</v>
      </c>
      <c r="F6" s="82" t="s">
        <v>3</v>
      </c>
      <c r="G6" s="82" t="s">
        <v>83</v>
      </c>
    </row>
    <row r="7" spans="1:7" x14ac:dyDescent="0.25">
      <c r="A7" s="165" t="s">
        <v>53</v>
      </c>
      <c r="B7" s="166">
        <v>470.79999999999995</v>
      </c>
      <c r="C7" s="166">
        <v>40184253.406000078</v>
      </c>
      <c r="D7" s="166">
        <v>1128770</v>
      </c>
      <c r="E7" s="166">
        <v>20600051.230751179</v>
      </c>
      <c r="F7" s="167">
        <f>D7/C7</f>
        <v>2.8089858696527598E-2</v>
      </c>
      <c r="G7" s="168">
        <f>E7/B7</f>
        <v>43755.418926829188</v>
      </c>
    </row>
    <row r="8" spans="1:7" x14ac:dyDescent="0.25">
      <c r="A8" s="165" t="s">
        <v>4</v>
      </c>
      <c r="B8" s="166">
        <v>2.2999999999999998</v>
      </c>
      <c r="C8" s="166">
        <v>151424.95600000001</v>
      </c>
      <c r="D8" s="166">
        <v>1805.684</v>
      </c>
      <c r="E8" s="166">
        <v>126081.805022</v>
      </c>
      <c r="F8" s="167">
        <f t="shared" ref="F8:F65" si="0">D8/C8</f>
        <v>1.1924613007647166E-2</v>
      </c>
      <c r="G8" s="168">
        <f t="shared" ref="G8:G64" si="1">E8/B8</f>
        <v>54818.17609652174</v>
      </c>
    </row>
    <row r="9" spans="1:7" x14ac:dyDescent="0.25">
      <c r="A9" s="165" t="s">
        <v>5</v>
      </c>
      <c r="B9" s="166">
        <v>22</v>
      </c>
      <c r="C9" s="166">
        <v>1447861.2</v>
      </c>
      <c r="D9" s="166">
        <v>23998</v>
      </c>
      <c r="E9" s="166">
        <v>742902.84208000009</v>
      </c>
      <c r="F9" s="167">
        <f t="shared" si="0"/>
        <v>1.6574793219129018E-2</v>
      </c>
      <c r="G9" s="168">
        <f t="shared" si="1"/>
        <v>33768.311003636365</v>
      </c>
    </row>
    <row r="10" spans="1:7" x14ac:dyDescent="0.25">
      <c r="A10" s="165" t="s">
        <v>19</v>
      </c>
      <c r="B10" s="166">
        <v>77.939999999999927</v>
      </c>
      <c r="C10" s="166">
        <v>4422713.32</v>
      </c>
      <c r="D10" s="166">
        <v>101982.04000000001</v>
      </c>
      <c r="E10" s="166">
        <v>2317247.8138923016</v>
      </c>
      <c r="F10" s="167">
        <f t="shared" si="0"/>
        <v>2.3058704605343944E-2</v>
      </c>
      <c r="G10" s="168">
        <f t="shared" si="1"/>
        <v>29731.175441266409</v>
      </c>
    </row>
    <row r="11" spans="1:7" x14ac:dyDescent="0.25">
      <c r="A11" s="165" t="s">
        <v>6</v>
      </c>
      <c r="B11" s="166">
        <v>16.349999999999998</v>
      </c>
      <c r="C11" s="166">
        <v>1079134.439</v>
      </c>
      <c r="D11" s="166">
        <v>24405.810499999992</v>
      </c>
      <c r="E11" s="166">
        <v>528309.9269026001</v>
      </c>
      <c r="F11" s="167">
        <f t="shared" si="0"/>
        <v>2.2616098252425425E-2</v>
      </c>
      <c r="G11" s="168">
        <f t="shared" si="1"/>
        <v>32312.533755510714</v>
      </c>
    </row>
    <row r="12" spans="1:7" x14ac:dyDescent="0.25">
      <c r="A12" s="165" t="s">
        <v>7</v>
      </c>
      <c r="B12" s="166">
        <v>10.899999999999995</v>
      </c>
      <c r="C12" s="166">
        <v>470485.20000000007</v>
      </c>
      <c r="D12" s="166">
        <v>26754.377000000011</v>
      </c>
      <c r="E12" s="166">
        <v>432422.80972000008</v>
      </c>
      <c r="F12" s="167">
        <f t="shared" si="0"/>
        <v>5.6865501826624955E-2</v>
      </c>
      <c r="G12" s="168">
        <f t="shared" si="1"/>
        <v>39671.817405504611</v>
      </c>
    </row>
    <row r="13" spans="1:7" x14ac:dyDescent="0.25">
      <c r="A13" s="165" t="s">
        <v>41</v>
      </c>
      <c r="B13" s="166">
        <v>246.02</v>
      </c>
      <c r="C13" s="166">
        <v>19512048.849999998</v>
      </c>
      <c r="D13" s="166">
        <v>891409.4719999982</v>
      </c>
      <c r="E13" s="166">
        <v>11285455.57544199</v>
      </c>
      <c r="F13" s="167">
        <f t="shared" si="0"/>
        <v>4.568507791533119E-2</v>
      </c>
      <c r="G13" s="168">
        <f t="shared" si="1"/>
        <v>45872.106232997277</v>
      </c>
    </row>
    <row r="14" spans="1:7" x14ac:dyDescent="0.25">
      <c r="A14" s="165" t="s">
        <v>8</v>
      </c>
      <c r="B14" s="166">
        <v>17.000000000000007</v>
      </c>
      <c r="C14" s="166">
        <v>965043.88491000002</v>
      </c>
      <c r="D14" s="166">
        <v>18708.000000000007</v>
      </c>
      <c r="E14" s="166">
        <v>755097.3152560998</v>
      </c>
      <c r="F14" s="167">
        <f t="shared" si="0"/>
        <v>1.9385646904280126E-2</v>
      </c>
      <c r="G14" s="168">
        <f t="shared" si="1"/>
        <v>44417.489132711737</v>
      </c>
    </row>
    <row r="15" spans="1:7" x14ac:dyDescent="0.25">
      <c r="A15" s="165" t="s">
        <v>20</v>
      </c>
      <c r="B15" s="166">
        <v>65.960000000000008</v>
      </c>
      <c r="C15" s="166">
        <v>4002980.1942650029</v>
      </c>
      <c r="D15" s="166">
        <v>23757.319999999989</v>
      </c>
      <c r="E15" s="166">
        <v>2633938.1400367413</v>
      </c>
      <c r="F15" s="167">
        <f t="shared" si="0"/>
        <v>5.9349082051509197E-3</v>
      </c>
      <c r="G15" s="168">
        <f t="shared" si="1"/>
        <v>39932.355064231975</v>
      </c>
    </row>
    <row r="16" spans="1:7" x14ac:dyDescent="0.25">
      <c r="A16" s="165" t="s">
        <v>42</v>
      </c>
      <c r="B16" s="166">
        <v>397.18000000000006</v>
      </c>
      <c r="C16" s="166">
        <v>25158241.550000001</v>
      </c>
      <c r="D16" s="166">
        <v>438983.99299999722</v>
      </c>
      <c r="E16" s="166">
        <v>21875669.310229961</v>
      </c>
      <c r="F16" s="167">
        <f t="shared" si="0"/>
        <v>1.7448913992162429E-2</v>
      </c>
      <c r="G16" s="168">
        <f t="shared" si="1"/>
        <v>55077.469435092295</v>
      </c>
    </row>
    <row r="17" spans="1:7" x14ac:dyDescent="0.25">
      <c r="A17" s="165" t="s">
        <v>9</v>
      </c>
      <c r="B17" s="166">
        <v>12.5</v>
      </c>
      <c r="C17" s="166">
        <v>678708.19114200014</v>
      </c>
      <c r="D17" s="166">
        <v>168150.42699999988</v>
      </c>
      <c r="E17" s="166">
        <v>368559.17638289981</v>
      </c>
      <c r="F17" s="167">
        <f t="shared" si="0"/>
        <v>0.24775069638848551</v>
      </c>
      <c r="G17" s="168">
        <f t="shared" si="1"/>
        <v>29484.734110631984</v>
      </c>
    </row>
    <row r="18" spans="1:7" x14ac:dyDescent="0.25">
      <c r="A18" s="165" t="s">
        <v>21</v>
      </c>
      <c r="B18" s="166">
        <v>63.500000000000007</v>
      </c>
      <c r="C18" s="166">
        <v>3586971.3739999989</v>
      </c>
      <c r="D18" s="166">
        <v>62171.579999999936</v>
      </c>
      <c r="E18" s="166">
        <v>2058059.7255478008</v>
      </c>
      <c r="F18" s="167">
        <f t="shared" si="0"/>
        <v>1.7332611141155974E-2</v>
      </c>
      <c r="G18" s="168">
        <f t="shared" si="1"/>
        <v>32410.38937870552</v>
      </c>
    </row>
    <row r="19" spans="1:7" x14ac:dyDescent="0.25">
      <c r="A19" s="165" t="s">
        <v>22</v>
      </c>
      <c r="B19" s="166">
        <v>83</v>
      </c>
      <c r="C19" s="166">
        <v>4243410.2694379976</v>
      </c>
      <c r="D19" s="166">
        <v>3930.1704999999997</v>
      </c>
      <c r="E19" s="166">
        <v>1715567.9357346103</v>
      </c>
      <c r="F19" s="167">
        <f t="shared" si="0"/>
        <v>9.2618206830152113E-4</v>
      </c>
      <c r="G19" s="168">
        <f t="shared" si="1"/>
        <v>20669.493201621812</v>
      </c>
    </row>
    <row r="20" spans="1:7" x14ac:dyDescent="0.25">
      <c r="A20" s="165" t="s">
        <v>10</v>
      </c>
      <c r="B20" s="166">
        <v>9.6899999999999959</v>
      </c>
      <c r="C20" s="166">
        <v>730901.78838000004</v>
      </c>
      <c r="D20" s="166">
        <v>9775.3755000000001</v>
      </c>
      <c r="E20" s="166">
        <v>273502.44434721</v>
      </c>
      <c r="F20" s="167">
        <f t="shared" si="0"/>
        <v>1.3374403586652229E-2</v>
      </c>
      <c r="G20" s="168">
        <f t="shared" si="1"/>
        <v>28225.226454820444</v>
      </c>
    </row>
    <row r="21" spans="1:7" x14ac:dyDescent="0.25">
      <c r="A21" s="165" t="s">
        <v>43</v>
      </c>
      <c r="B21" s="166">
        <v>369</v>
      </c>
      <c r="C21" s="166">
        <v>24282610.199999977</v>
      </c>
      <c r="D21" s="166">
        <v>476025</v>
      </c>
      <c r="E21" s="166">
        <v>20261330.123139974</v>
      </c>
      <c r="F21" s="167">
        <f t="shared" si="0"/>
        <v>1.9603535043362038E-2</v>
      </c>
      <c r="G21" s="168">
        <f t="shared" si="1"/>
        <v>54908.753721246539</v>
      </c>
    </row>
    <row r="22" spans="1:7" x14ac:dyDescent="0.25">
      <c r="A22" s="165" t="s">
        <v>23</v>
      </c>
      <c r="B22" s="166">
        <v>73.599999999999994</v>
      </c>
      <c r="C22" s="166">
        <v>4005819.154000001</v>
      </c>
      <c r="D22" s="166">
        <v>115495.90680000008</v>
      </c>
      <c r="E22" s="166">
        <v>1810956.255743</v>
      </c>
      <c r="F22" s="167">
        <f t="shared" si="0"/>
        <v>2.8832032191136718E-2</v>
      </c>
      <c r="G22" s="168">
        <f t="shared" si="1"/>
        <v>24605.38390955163</v>
      </c>
    </row>
    <row r="23" spans="1:7" x14ac:dyDescent="0.25">
      <c r="A23" s="165" t="s">
        <v>24</v>
      </c>
      <c r="B23" s="166">
        <v>23.3</v>
      </c>
      <c r="C23" s="166">
        <v>1515402.2250000001</v>
      </c>
      <c r="D23" s="166">
        <v>32271.664999999994</v>
      </c>
      <c r="E23" s="166">
        <v>688868.57084249996</v>
      </c>
      <c r="F23" s="167">
        <f t="shared" si="0"/>
        <v>2.1295775120034544E-2</v>
      </c>
      <c r="G23" s="168">
        <f t="shared" si="1"/>
        <v>29565.174714270383</v>
      </c>
    </row>
    <row r="24" spans="1:7" x14ac:dyDescent="0.25">
      <c r="A24" s="165" t="s">
        <v>11</v>
      </c>
      <c r="B24" s="166">
        <v>12</v>
      </c>
      <c r="C24" s="166">
        <v>684130.38499999989</v>
      </c>
      <c r="D24" s="166">
        <v>76123.25</v>
      </c>
      <c r="E24" s="166">
        <v>186565.88360649996</v>
      </c>
      <c r="F24" s="167">
        <f t="shared" si="0"/>
        <v>0.111270090715237</v>
      </c>
      <c r="G24" s="168">
        <f t="shared" si="1"/>
        <v>15547.15696720833</v>
      </c>
    </row>
    <row r="25" spans="1:7" x14ac:dyDescent="0.25">
      <c r="A25" s="165" t="s">
        <v>54</v>
      </c>
      <c r="B25" s="166">
        <v>3144</v>
      </c>
      <c r="C25" s="166">
        <v>245690799.4662292</v>
      </c>
      <c r="D25" s="166">
        <v>31294081.50972756</v>
      </c>
      <c r="E25" s="166">
        <v>137201219.90453148</v>
      </c>
      <c r="F25" s="167">
        <f t="shared" si="0"/>
        <v>0.12737180870311349</v>
      </c>
      <c r="G25" s="168">
        <f t="shared" si="1"/>
        <v>43639.064855130877</v>
      </c>
    </row>
    <row r="26" spans="1:7" x14ac:dyDescent="0.25">
      <c r="A26" s="165" t="s">
        <v>25</v>
      </c>
      <c r="B26" s="166">
        <v>75.66</v>
      </c>
      <c r="C26" s="166">
        <v>4459838.9899999965</v>
      </c>
      <c r="D26" s="166">
        <v>78232.44</v>
      </c>
      <c r="E26" s="166">
        <v>2635529.6381926001</v>
      </c>
      <c r="F26" s="167">
        <f t="shared" si="0"/>
        <v>1.7541539094890073E-2</v>
      </c>
      <c r="G26" s="168">
        <f t="shared" si="1"/>
        <v>34833.857232257469</v>
      </c>
    </row>
    <row r="27" spans="1:7" x14ac:dyDescent="0.25">
      <c r="A27" s="165" t="s">
        <v>26</v>
      </c>
      <c r="B27" s="166">
        <v>75.200000000000017</v>
      </c>
      <c r="C27" s="166">
        <v>5826995.5179999974</v>
      </c>
      <c r="D27" s="166">
        <v>108020.2880000001</v>
      </c>
      <c r="E27" s="166">
        <v>2614379.1297078007</v>
      </c>
      <c r="F27" s="167">
        <f t="shared" si="0"/>
        <v>1.8537904768644125E-2</v>
      </c>
      <c r="G27" s="168">
        <f t="shared" si="1"/>
        <v>34765.679916327128</v>
      </c>
    </row>
    <row r="28" spans="1:7" x14ac:dyDescent="0.25">
      <c r="A28" s="165" t="s">
        <v>12</v>
      </c>
      <c r="B28" s="166">
        <v>6.3</v>
      </c>
      <c r="C28" s="166">
        <v>377354.24000000005</v>
      </c>
      <c r="D28" s="166">
        <v>34110.6</v>
      </c>
      <c r="E28" s="166">
        <v>138168.94830639998</v>
      </c>
      <c r="F28" s="167">
        <f t="shared" si="0"/>
        <v>9.0394108199234741E-2</v>
      </c>
      <c r="G28" s="168">
        <f t="shared" si="1"/>
        <v>21931.579096253965</v>
      </c>
    </row>
    <row r="29" spans="1:7" x14ac:dyDescent="0.25">
      <c r="A29" s="165" t="s">
        <v>27</v>
      </c>
      <c r="B29" s="166">
        <v>43.230999999999995</v>
      </c>
      <c r="C29" s="166">
        <v>2802270.1300000004</v>
      </c>
      <c r="D29" s="166">
        <v>17724.71</v>
      </c>
      <c r="E29" s="166">
        <v>1991042.5466334999</v>
      </c>
      <c r="F29" s="167">
        <f t="shared" si="0"/>
        <v>6.3251254082346432E-3</v>
      </c>
      <c r="G29" s="168">
        <f t="shared" si="1"/>
        <v>46055.898467153202</v>
      </c>
    </row>
    <row r="30" spans="1:7" x14ac:dyDescent="0.25">
      <c r="A30" s="165" t="s">
        <v>28</v>
      </c>
      <c r="B30" s="166">
        <v>89.75</v>
      </c>
      <c r="C30" s="166">
        <v>5588732.8925999999</v>
      </c>
      <c r="D30" s="166">
        <v>104850.64999999989</v>
      </c>
      <c r="E30" s="166">
        <v>3930474.6939463974</v>
      </c>
      <c r="F30" s="167">
        <f t="shared" si="0"/>
        <v>1.8761077334512061E-2</v>
      </c>
      <c r="G30" s="168">
        <f t="shared" si="1"/>
        <v>43793.589904695233</v>
      </c>
    </row>
    <row r="31" spans="1:7" x14ac:dyDescent="0.25">
      <c r="A31" s="165" t="s">
        <v>13</v>
      </c>
      <c r="B31" s="166">
        <v>6</v>
      </c>
      <c r="C31" s="166">
        <v>360851.26999999996</v>
      </c>
      <c r="D31" s="166">
        <v>15240</v>
      </c>
      <c r="E31" s="166">
        <v>226685.86420799998</v>
      </c>
      <c r="F31" s="167">
        <f t="shared" si="0"/>
        <v>4.2233466436185751E-2</v>
      </c>
      <c r="G31" s="168">
        <f t="shared" si="1"/>
        <v>37780.977368</v>
      </c>
    </row>
    <row r="32" spans="1:7" x14ac:dyDescent="0.25">
      <c r="A32" s="165" t="s">
        <v>14</v>
      </c>
      <c r="B32" s="166">
        <v>7.2327499999999985</v>
      </c>
      <c r="C32" s="166">
        <v>432788.67042999994</v>
      </c>
      <c r="D32" s="166">
        <v>8581.6007624999984</v>
      </c>
      <c r="E32" s="166">
        <v>299170.45991008996</v>
      </c>
      <c r="F32" s="167">
        <f t="shared" si="0"/>
        <v>1.9828616941320792E-2</v>
      </c>
      <c r="G32" s="168">
        <f t="shared" si="1"/>
        <v>41363.307166719438</v>
      </c>
    </row>
    <row r="33" spans="1:7" x14ac:dyDescent="0.25">
      <c r="A33" s="165" t="s">
        <v>44</v>
      </c>
      <c r="B33" s="166">
        <v>149.79999999999995</v>
      </c>
      <c r="C33" s="166">
        <v>10143365.439999998</v>
      </c>
      <c r="D33" s="166">
        <v>1338990.1980000022</v>
      </c>
      <c r="E33" s="166">
        <v>4226171.375536195</v>
      </c>
      <c r="F33" s="167">
        <f t="shared" si="0"/>
        <v>0.1320065027648262</v>
      </c>
      <c r="G33" s="168">
        <f t="shared" si="1"/>
        <v>28212.091959520669</v>
      </c>
    </row>
    <row r="34" spans="1:7" x14ac:dyDescent="0.25">
      <c r="A34" s="165" t="s">
        <v>29</v>
      </c>
      <c r="B34" s="166">
        <v>46.4</v>
      </c>
      <c r="C34" s="166">
        <v>3405163.1599999997</v>
      </c>
      <c r="D34" s="166">
        <v>70760.637398050065</v>
      </c>
      <c r="E34" s="166">
        <v>1797174.4761319999</v>
      </c>
      <c r="F34" s="167">
        <f t="shared" si="0"/>
        <v>2.0780395556155986E-2</v>
      </c>
      <c r="G34" s="168">
        <f t="shared" si="1"/>
        <v>38732.208537327584</v>
      </c>
    </row>
    <row r="35" spans="1:7" x14ac:dyDescent="0.25">
      <c r="A35" s="165" t="s">
        <v>30</v>
      </c>
      <c r="B35" s="166">
        <v>34.389999999999972</v>
      </c>
      <c r="C35" s="166">
        <v>2174123.7132440004</v>
      </c>
      <c r="D35" s="166">
        <v>87307.761599999969</v>
      </c>
      <c r="E35" s="166">
        <v>1388634.4265706029</v>
      </c>
      <c r="F35" s="167">
        <f t="shared" si="0"/>
        <v>4.0157678731965275E-2</v>
      </c>
      <c r="G35" s="168">
        <f t="shared" si="1"/>
        <v>40379.017928775924</v>
      </c>
    </row>
    <row r="36" spans="1:7" x14ac:dyDescent="0.25">
      <c r="A36" s="165" t="s">
        <v>55</v>
      </c>
      <c r="B36" s="166">
        <v>1031.5625</v>
      </c>
      <c r="C36" s="166">
        <v>83136223.285038635</v>
      </c>
      <c r="D36" s="166">
        <v>1767195.3125</v>
      </c>
      <c r="E36" s="166">
        <v>45606657.564065628</v>
      </c>
      <c r="F36" s="167">
        <f t="shared" si="0"/>
        <v>2.1256622476595325E-2</v>
      </c>
      <c r="G36" s="168">
        <f t="shared" si="1"/>
        <v>44211.240292338691</v>
      </c>
    </row>
    <row r="37" spans="1:7" x14ac:dyDescent="0.25">
      <c r="A37" s="165" t="s">
        <v>31</v>
      </c>
      <c r="B37" s="166">
        <v>105.89999999999999</v>
      </c>
      <c r="C37" s="166">
        <v>8452281.9006460011</v>
      </c>
      <c r="D37" s="166">
        <v>219202.75999999998</v>
      </c>
      <c r="E37" s="166">
        <v>5392970.6336155413</v>
      </c>
      <c r="F37" s="167">
        <f t="shared" si="0"/>
        <v>2.5934151579024654E-2</v>
      </c>
      <c r="G37" s="168">
        <f t="shared" si="1"/>
        <v>50925.124019032497</v>
      </c>
    </row>
    <row r="38" spans="1:7" x14ac:dyDescent="0.25">
      <c r="A38" s="165" t="s">
        <v>15</v>
      </c>
      <c r="B38" s="166">
        <v>7.1999999999999993</v>
      </c>
      <c r="C38" s="166">
        <v>451492.05470000004</v>
      </c>
      <c r="D38" s="166">
        <v>7534.7999999999993</v>
      </c>
      <c r="E38" s="166">
        <v>242180.02079895991</v>
      </c>
      <c r="F38" s="167">
        <f t="shared" si="0"/>
        <v>1.6688665772881868E-2</v>
      </c>
      <c r="G38" s="168">
        <f t="shared" si="1"/>
        <v>33636.113999855545</v>
      </c>
    </row>
    <row r="39" spans="1:7" x14ac:dyDescent="0.25">
      <c r="A39" s="165" t="s">
        <v>56</v>
      </c>
      <c r="B39" s="166">
        <v>790.18999999999994</v>
      </c>
      <c r="C39" s="166">
        <v>62281444.453999624</v>
      </c>
      <c r="D39" s="166">
        <v>1005240.6168000042</v>
      </c>
      <c r="E39" s="166">
        <v>34589129.011474326</v>
      </c>
      <c r="F39" s="167">
        <f t="shared" si="0"/>
        <v>1.6140290669437885E-2</v>
      </c>
      <c r="G39" s="168">
        <f t="shared" si="1"/>
        <v>43773.179882653953</v>
      </c>
    </row>
    <row r="40" spans="1:7" x14ac:dyDescent="0.25">
      <c r="A40" s="165" t="s">
        <v>57</v>
      </c>
      <c r="B40" s="166">
        <v>571.31999999999994</v>
      </c>
      <c r="C40" s="166">
        <v>45827835.999799997</v>
      </c>
      <c r="D40" s="166">
        <v>669527.19400000002</v>
      </c>
      <c r="E40" s="166">
        <v>30444260.205077074</v>
      </c>
      <c r="F40" s="167">
        <f t="shared" si="0"/>
        <v>1.4609618355161304E-2</v>
      </c>
      <c r="G40" s="168">
        <f t="shared" si="1"/>
        <v>53287.579999084715</v>
      </c>
    </row>
    <row r="41" spans="1:7" x14ac:dyDescent="0.25">
      <c r="A41" s="165" t="s">
        <v>16</v>
      </c>
      <c r="B41" s="166">
        <v>19.100000000000001</v>
      </c>
      <c r="C41" s="166">
        <v>1080374.8999999999</v>
      </c>
      <c r="D41" s="166">
        <v>19236.045679999992</v>
      </c>
      <c r="E41" s="166">
        <v>978469.39261999971</v>
      </c>
      <c r="F41" s="167">
        <f t="shared" si="0"/>
        <v>1.7804972773802864E-2</v>
      </c>
      <c r="G41" s="168">
        <f t="shared" si="1"/>
        <v>51228.764011518302</v>
      </c>
    </row>
    <row r="42" spans="1:7" x14ac:dyDescent="0.25">
      <c r="A42" s="165" t="s">
        <v>58</v>
      </c>
      <c r="B42" s="166">
        <v>803.5</v>
      </c>
      <c r="C42" s="166">
        <v>58318357.974280015</v>
      </c>
      <c r="D42" s="166">
        <v>520853.81282000116</v>
      </c>
      <c r="E42" s="166">
        <v>30629468.734984796</v>
      </c>
      <c r="F42" s="167">
        <f t="shared" si="0"/>
        <v>8.9312153310234128E-3</v>
      </c>
      <c r="G42" s="168">
        <f t="shared" si="1"/>
        <v>38120.060653372493</v>
      </c>
    </row>
    <row r="43" spans="1:7" x14ac:dyDescent="0.25">
      <c r="A43" s="165" t="s">
        <v>59</v>
      </c>
      <c r="B43" s="166">
        <v>895.8</v>
      </c>
      <c r="C43" s="166">
        <v>67218244.646270141</v>
      </c>
      <c r="D43" s="166">
        <v>1632232.2</v>
      </c>
      <c r="E43" s="166">
        <v>49498860.98855301</v>
      </c>
      <c r="F43" s="167">
        <f t="shared" si="0"/>
        <v>2.4282576978757367E-2</v>
      </c>
      <c r="G43" s="168">
        <f t="shared" si="1"/>
        <v>55256.598558331112</v>
      </c>
    </row>
    <row r="44" spans="1:7" x14ac:dyDescent="0.25">
      <c r="A44" s="165" t="s">
        <v>60</v>
      </c>
      <c r="B44" s="166">
        <v>302</v>
      </c>
      <c r="C44" s="166">
        <v>29251310.730000019</v>
      </c>
      <c r="D44" s="166">
        <v>665237.09999999974</v>
      </c>
      <c r="E44" s="166">
        <v>16487087.355024014</v>
      </c>
      <c r="F44" s="167">
        <f t="shared" si="0"/>
        <v>2.2742129613964115E-2</v>
      </c>
      <c r="G44" s="168">
        <f t="shared" si="1"/>
        <v>54593.004486834485</v>
      </c>
    </row>
    <row r="45" spans="1:7" x14ac:dyDescent="0.25">
      <c r="A45" s="165" t="s">
        <v>45</v>
      </c>
      <c r="B45" s="166">
        <v>302.45500000000004</v>
      </c>
      <c r="C45" s="166">
        <v>20796892.044749986</v>
      </c>
      <c r="D45" s="166">
        <v>82477.965000000011</v>
      </c>
      <c r="E45" s="166">
        <v>15048670.442529488</v>
      </c>
      <c r="F45" s="167">
        <f t="shared" si="0"/>
        <v>3.9658793642111025E-3</v>
      </c>
      <c r="G45" s="168">
        <f t="shared" si="1"/>
        <v>49755.072465422913</v>
      </c>
    </row>
    <row r="46" spans="1:7" x14ac:dyDescent="0.25">
      <c r="A46" s="165" t="s">
        <v>32</v>
      </c>
      <c r="B46" s="166">
        <v>98.349999999999952</v>
      </c>
      <c r="C46" s="166">
        <v>7357039.9499999974</v>
      </c>
      <c r="D46" s="166">
        <v>134981.03799999994</v>
      </c>
      <c r="E46" s="166">
        <v>4254708.7934280019</v>
      </c>
      <c r="F46" s="167">
        <f t="shared" si="0"/>
        <v>1.8347193833030632E-2</v>
      </c>
      <c r="G46" s="168">
        <f t="shared" si="1"/>
        <v>43260.892663223225</v>
      </c>
    </row>
    <row r="47" spans="1:7" x14ac:dyDescent="0.25">
      <c r="A47" s="165" t="s">
        <v>46</v>
      </c>
      <c r="B47" s="166">
        <v>188</v>
      </c>
      <c r="C47" s="166">
        <v>17182508.987689991</v>
      </c>
      <c r="D47" s="166">
        <v>276583.89285116078</v>
      </c>
      <c r="E47" s="166">
        <v>10599444.917694902</v>
      </c>
      <c r="F47" s="167">
        <f t="shared" si="0"/>
        <v>1.6096828062148134E-2</v>
      </c>
      <c r="G47" s="168">
        <f t="shared" si="1"/>
        <v>56380.026157951608</v>
      </c>
    </row>
    <row r="48" spans="1:7" x14ac:dyDescent="0.25">
      <c r="A48" s="165" t="s">
        <v>47</v>
      </c>
      <c r="B48" s="166">
        <v>168.40000000000003</v>
      </c>
      <c r="C48" s="166">
        <v>11757191.045040004</v>
      </c>
      <c r="D48" s="166">
        <v>10459.599999999999</v>
      </c>
      <c r="E48" s="166">
        <v>6860554.3965284815</v>
      </c>
      <c r="F48" s="167">
        <f t="shared" si="0"/>
        <v>8.8963426382465574E-4</v>
      </c>
      <c r="G48" s="168">
        <f t="shared" si="1"/>
        <v>40739.634183660812</v>
      </c>
    </row>
    <row r="49" spans="1:7" x14ac:dyDescent="0.25">
      <c r="A49" s="165" t="s">
        <v>61</v>
      </c>
      <c r="B49" s="166">
        <v>362.09000000000003</v>
      </c>
      <c r="C49" s="166">
        <v>34909282.75607007</v>
      </c>
      <c r="D49" s="166">
        <v>1207662.8674835309</v>
      </c>
      <c r="E49" s="166">
        <v>19107987.085080303</v>
      </c>
      <c r="F49" s="167">
        <f t="shared" si="0"/>
        <v>3.4594319107674618E-2</v>
      </c>
      <c r="G49" s="168">
        <f t="shared" si="1"/>
        <v>52771.374755116965</v>
      </c>
    </row>
    <row r="50" spans="1:7" x14ac:dyDescent="0.25">
      <c r="A50" s="165" t="s">
        <v>33</v>
      </c>
      <c r="B50" s="166">
        <v>86.1</v>
      </c>
      <c r="C50" s="166">
        <v>6299017.842000003</v>
      </c>
      <c r="D50" s="166">
        <v>202157.77754160028</v>
      </c>
      <c r="E50" s="166">
        <v>3644177.3607919812</v>
      </c>
      <c r="F50" s="167">
        <f t="shared" si="0"/>
        <v>3.2093539439382361E-2</v>
      </c>
      <c r="G50" s="168">
        <f t="shared" si="1"/>
        <v>42324.940311172839</v>
      </c>
    </row>
    <row r="51" spans="1:7" x14ac:dyDescent="0.25">
      <c r="A51" s="165" t="s">
        <v>34</v>
      </c>
      <c r="B51" s="166">
        <v>110.7</v>
      </c>
      <c r="C51" s="166">
        <v>6612073.8230000027</v>
      </c>
      <c r="D51" s="166">
        <v>215862.70800000016</v>
      </c>
      <c r="E51" s="166">
        <v>2975511.1264146985</v>
      </c>
      <c r="F51" s="167">
        <f t="shared" si="0"/>
        <v>3.2646748021645626E-2</v>
      </c>
      <c r="G51" s="168">
        <f t="shared" si="1"/>
        <v>26879.052632472434</v>
      </c>
    </row>
    <row r="52" spans="1:7" x14ac:dyDescent="0.25">
      <c r="A52" s="165" t="s">
        <v>17</v>
      </c>
      <c r="B52" s="166">
        <v>2.5799999999999992</v>
      </c>
      <c r="C52" s="166">
        <v>107870.61720000004</v>
      </c>
      <c r="D52" s="166">
        <v>2838.4512</v>
      </c>
      <c r="E52" s="166">
        <v>86684.663660648002</v>
      </c>
      <c r="F52" s="167">
        <f t="shared" si="0"/>
        <v>2.6313478810798898E-2</v>
      </c>
      <c r="G52" s="168">
        <f t="shared" si="1"/>
        <v>33598.706845212415</v>
      </c>
    </row>
    <row r="53" spans="1:7" x14ac:dyDescent="0.25">
      <c r="A53" s="165" t="s">
        <v>35</v>
      </c>
      <c r="B53" s="166">
        <v>19.030000000000005</v>
      </c>
      <c r="C53" s="166">
        <v>1229548.9500000002</v>
      </c>
      <c r="D53" s="166">
        <v>37345.660018000002</v>
      </c>
      <c r="E53" s="166">
        <v>913018.75982289982</v>
      </c>
      <c r="F53" s="167">
        <f t="shared" si="0"/>
        <v>3.0373463389155832E-2</v>
      </c>
      <c r="G53" s="168">
        <f t="shared" si="1"/>
        <v>47977.864415286371</v>
      </c>
    </row>
    <row r="54" spans="1:7" x14ac:dyDescent="0.25">
      <c r="A54" s="165" t="s">
        <v>48</v>
      </c>
      <c r="B54" s="166">
        <v>172.1</v>
      </c>
      <c r="C54" s="166">
        <v>12110620.826534996</v>
      </c>
      <c r="D54" s="166">
        <v>379421.66999999923</v>
      </c>
      <c r="E54" s="166">
        <v>8554674.6343038063</v>
      </c>
      <c r="F54" s="167">
        <f t="shared" si="0"/>
        <v>3.1329663064726357E-2</v>
      </c>
      <c r="G54" s="168">
        <f t="shared" si="1"/>
        <v>49707.580675792022</v>
      </c>
    </row>
    <row r="55" spans="1:7" x14ac:dyDescent="0.25">
      <c r="A55" s="165" t="s">
        <v>49</v>
      </c>
      <c r="B55" s="166">
        <v>129</v>
      </c>
      <c r="C55" s="166">
        <v>10195930.150999987</v>
      </c>
      <c r="D55" s="166">
        <v>168089.36999999985</v>
      </c>
      <c r="E55" s="166">
        <v>7309145.7034128569</v>
      </c>
      <c r="F55" s="167">
        <f t="shared" si="0"/>
        <v>1.6485927964454927E-2</v>
      </c>
      <c r="G55" s="168">
        <f t="shared" si="1"/>
        <v>56660.044212502769</v>
      </c>
    </row>
    <row r="56" spans="1:7" x14ac:dyDescent="0.25">
      <c r="A56" s="165" t="s">
        <v>50</v>
      </c>
      <c r="B56" s="166">
        <v>193.5</v>
      </c>
      <c r="C56" s="166">
        <v>12312257.835299993</v>
      </c>
      <c r="D56" s="166">
        <v>226993.54901999992</v>
      </c>
      <c r="E56" s="166">
        <v>7723514.0832420737</v>
      </c>
      <c r="F56" s="167">
        <f t="shared" si="0"/>
        <v>1.8436386896414369E-2</v>
      </c>
      <c r="G56" s="168">
        <f t="shared" si="1"/>
        <v>39914.801463783326</v>
      </c>
    </row>
    <row r="57" spans="1:7" x14ac:dyDescent="0.25">
      <c r="A57" s="165" t="s">
        <v>36</v>
      </c>
      <c r="B57" s="166">
        <v>35.299999999999997</v>
      </c>
      <c r="C57" s="166">
        <v>1876137.8539999998</v>
      </c>
      <c r="D57" s="166">
        <v>29814.894999999993</v>
      </c>
      <c r="E57" s="166">
        <v>1502377.8399576501</v>
      </c>
      <c r="F57" s="167">
        <f t="shared" si="0"/>
        <v>1.5891633408724983E-2</v>
      </c>
      <c r="G57" s="168">
        <f t="shared" si="1"/>
        <v>42560.278752341364</v>
      </c>
    </row>
    <row r="58" spans="1:7" x14ac:dyDescent="0.25">
      <c r="A58" s="165" t="s">
        <v>37</v>
      </c>
      <c r="B58" s="166">
        <v>34.6</v>
      </c>
      <c r="C58" s="166">
        <v>2082206.3899999997</v>
      </c>
      <c r="D58" s="166">
        <v>44954.956000000027</v>
      </c>
      <c r="E58" s="166">
        <v>1335732.2204250002</v>
      </c>
      <c r="F58" s="167">
        <f t="shared" si="0"/>
        <v>2.1590057650336975E-2</v>
      </c>
      <c r="G58" s="168">
        <f t="shared" si="1"/>
        <v>38604.977468930636</v>
      </c>
    </row>
    <row r="59" spans="1:7" x14ac:dyDescent="0.25">
      <c r="A59" s="165" t="s">
        <v>18</v>
      </c>
      <c r="B59" s="166">
        <v>9.1200000000000028</v>
      </c>
      <c r="C59" s="166">
        <v>558355.46346</v>
      </c>
      <c r="D59" s="166">
        <v>15190.48</v>
      </c>
      <c r="E59" s="166">
        <v>313405.31773749995</v>
      </c>
      <c r="F59" s="167">
        <f t="shared" si="0"/>
        <v>2.7205751522279553E-2</v>
      </c>
      <c r="G59" s="168">
        <f t="shared" si="1"/>
        <v>34364.618172971474</v>
      </c>
    </row>
    <row r="60" spans="1:7" x14ac:dyDescent="0.25">
      <c r="A60" s="165" t="s">
        <v>51</v>
      </c>
      <c r="B60" s="166">
        <v>193.5</v>
      </c>
      <c r="C60" s="166">
        <v>11876213.828100011</v>
      </c>
      <c r="D60" s="166">
        <v>16958.350000000042</v>
      </c>
      <c r="E60" s="166">
        <v>8886688.1453800313</v>
      </c>
      <c r="F60" s="167">
        <f t="shared" si="0"/>
        <v>1.4279256205269155E-3</v>
      </c>
      <c r="G60" s="168">
        <f t="shared" si="1"/>
        <v>45926.036927028588</v>
      </c>
    </row>
    <row r="61" spans="1:7" x14ac:dyDescent="0.25">
      <c r="A61" s="165" t="s">
        <v>38</v>
      </c>
      <c r="B61" s="166">
        <v>32.299999999999997</v>
      </c>
      <c r="C61" s="166">
        <v>1797451.8</v>
      </c>
      <c r="D61" s="166">
        <v>58346.544999999984</v>
      </c>
      <c r="E61" s="166">
        <v>1243064.63821</v>
      </c>
      <c r="F61" s="167">
        <f t="shared" si="0"/>
        <v>3.2460700754256652E-2</v>
      </c>
      <c r="G61" s="168">
        <f t="shared" si="1"/>
        <v>38484.973319195051</v>
      </c>
    </row>
    <row r="62" spans="1:7" x14ac:dyDescent="0.25">
      <c r="A62" s="165" t="s">
        <v>52</v>
      </c>
      <c r="B62" s="166">
        <v>229.73130599999999</v>
      </c>
      <c r="C62" s="166">
        <v>17548993.141930003</v>
      </c>
      <c r="D62" s="166">
        <v>48586.416575459996</v>
      </c>
      <c r="E62" s="166">
        <v>8687391.7121633161</v>
      </c>
      <c r="F62" s="167">
        <f t="shared" si="0"/>
        <v>2.7686156227032725E-3</v>
      </c>
      <c r="G62" s="168">
        <f t="shared" si="1"/>
        <v>37815.445632661475</v>
      </c>
    </row>
    <row r="63" spans="1:7" x14ac:dyDescent="0.25">
      <c r="A63" s="165" t="s">
        <v>39</v>
      </c>
      <c r="B63" s="166">
        <v>77</v>
      </c>
      <c r="C63" s="166">
        <v>5224546.8499999996</v>
      </c>
      <c r="D63" s="166">
        <v>243716.27000000022</v>
      </c>
      <c r="E63" s="166">
        <v>3400564.1566879991</v>
      </c>
      <c r="F63" s="167">
        <f t="shared" si="0"/>
        <v>4.6648307881476885E-2</v>
      </c>
      <c r="G63" s="168">
        <f t="shared" si="1"/>
        <v>44163.170866077911</v>
      </c>
    </row>
    <row r="64" spans="1:7" x14ac:dyDescent="0.25">
      <c r="A64" s="165" t="s">
        <v>40</v>
      </c>
      <c r="B64" s="166">
        <v>42.650000000000006</v>
      </c>
      <c r="C64" s="166">
        <v>2824403.1741999993</v>
      </c>
      <c r="D64" s="166">
        <v>41790.160967579992</v>
      </c>
      <c r="E64" s="166">
        <v>807894.47903560032</v>
      </c>
      <c r="F64" s="167">
        <f t="shared" si="0"/>
        <v>1.4796103243800129E-2</v>
      </c>
      <c r="G64" s="168">
        <f t="shared" si="1"/>
        <v>18942.426237645959</v>
      </c>
    </row>
    <row r="65" spans="1:7" s="171" customFormat="1" ht="15.75" thickBot="1" x14ac:dyDescent="0.3">
      <c r="A65" s="169" t="s">
        <v>171</v>
      </c>
      <c r="B65" s="176">
        <f>SUM(B7:B64)</f>
        <v>12664.082555999999</v>
      </c>
      <c r="C65" s="81">
        <f t="shared" ref="C65:E65" si="2">SUM(C7:C64)</f>
        <v>959060533.35264766</v>
      </c>
      <c r="D65" s="81">
        <f t="shared" si="2"/>
        <v>46732910.931245454</v>
      </c>
      <c r="E65" s="81">
        <f t="shared" si="2"/>
        <v>572233532.73107314</v>
      </c>
      <c r="F65" s="177">
        <f t="shared" si="0"/>
        <v>4.8727801119996361E-2</v>
      </c>
      <c r="G65" s="81">
        <f t="shared" ref="G65" si="3">(E65)/B65</f>
        <v>45185.549778334309</v>
      </c>
    </row>
    <row r="66" spans="1:7" ht="15.75" thickTop="1" x14ac:dyDescent="0.25">
      <c r="B66" s="173">
        <v>12664.082555999999</v>
      </c>
      <c r="C66" s="173">
        <v>959060533.35264766</v>
      </c>
      <c r="D66" s="173">
        <v>46732910.931245454</v>
      </c>
      <c r="E66" s="173">
        <v>572233532.73107314</v>
      </c>
      <c r="G66" s="170"/>
    </row>
    <row r="67" spans="1:7" x14ac:dyDescent="0.25">
      <c r="B67" s="173">
        <f>B66-B65</f>
        <v>0</v>
      </c>
      <c r="C67" s="173">
        <f t="shared" ref="C67:E67" si="4">C66-C65</f>
        <v>0</v>
      </c>
      <c r="D67" s="173">
        <f t="shared" si="4"/>
        <v>0</v>
      </c>
      <c r="E67" s="173">
        <f t="shared" si="4"/>
        <v>0</v>
      </c>
    </row>
    <row r="68" spans="1:7" x14ac:dyDescent="0.25">
      <c r="D68" s="172"/>
    </row>
    <row r="69" spans="1:7" x14ac:dyDescent="0.25">
      <c r="B69" s="295"/>
    </row>
  </sheetData>
  <mergeCells count="2">
    <mergeCell ref="B4:C4"/>
    <mergeCell ref="A5:A6"/>
  </mergeCells>
  <printOptions horizontalCentered="1"/>
  <pageMargins left="0.25" right="0.25" top="0.5" bottom="0.5" header="0.3" footer="0.3"/>
  <pageSetup scale="7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68"/>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9.140625" defaultRowHeight="15" x14ac:dyDescent="0.25"/>
  <cols>
    <col min="1" max="1" width="16.140625" style="164" customWidth="1"/>
    <col min="2" max="2" width="15.85546875" style="164" bestFit="1" customWidth="1"/>
    <col min="3" max="3" width="14.85546875" style="164" bestFit="1" customWidth="1"/>
    <col min="4" max="4" width="16.42578125" style="164" customWidth="1"/>
    <col min="5" max="5" width="16.140625" style="164" bestFit="1" customWidth="1"/>
    <col min="6" max="6" width="15.42578125" style="164" customWidth="1"/>
    <col min="7" max="7" width="16.140625" style="164" bestFit="1" customWidth="1"/>
    <col min="8" max="16384" width="9.140625" style="164"/>
  </cols>
  <sheetData>
    <row r="1" spans="1:7" ht="18.75" x14ac:dyDescent="0.25">
      <c r="A1" s="174" t="s">
        <v>124</v>
      </c>
    </row>
    <row r="2" spans="1:7" x14ac:dyDescent="0.25">
      <c r="A2" s="50" t="s">
        <v>235</v>
      </c>
    </row>
    <row r="4" spans="1:7" x14ac:dyDescent="0.25">
      <c r="B4" s="335" t="s">
        <v>234</v>
      </c>
      <c r="C4" s="336"/>
    </row>
    <row r="5" spans="1:7" ht="60" x14ac:dyDescent="0.25">
      <c r="A5" s="337" t="s">
        <v>63</v>
      </c>
      <c r="B5" s="218" t="s">
        <v>183</v>
      </c>
      <c r="C5" s="218" t="s">
        <v>182</v>
      </c>
      <c r="D5" s="251" t="s">
        <v>196</v>
      </c>
      <c r="E5" s="219" t="s">
        <v>197</v>
      </c>
      <c r="F5" s="251" t="s">
        <v>198</v>
      </c>
      <c r="G5" s="251" t="s">
        <v>199</v>
      </c>
    </row>
    <row r="6" spans="1:7" x14ac:dyDescent="0.25">
      <c r="A6" s="338"/>
      <c r="B6" s="82" t="s">
        <v>65</v>
      </c>
      <c r="C6" s="82" t="s">
        <v>1</v>
      </c>
      <c r="D6" s="82" t="s">
        <v>66</v>
      </c>
      <c r="E6" s="82" t="s">
        <v>2</v>
      </c>
      <c r="F6" s="82" t="s">
        <v>3</v>
      </c>
      <c r="G6" s="82" t="s">
        <v>83</v>
      </c>
    </row>
    <row r="7" spans="1:7" x14ac:dyDescent="0.25">
      <c r="A7" s="165" t="s">
        <v>53</v>
      </c>
      <c r="B7" s="166">
        <v>81.474999999999994</v>
      </c>
      <c r="C7" s="166">
        <v>9318500.1960000154</v>
      </c>
      <c r="D7" s="166">
        <v>303340.25</v>
      </c>
      <c r="E7" s="166">
        <v>4336392.9531540005</v>
      </c>
      <c r="F7" s="167">
        <f>D7/C7</f>
        <v>3.255247557221809E-2</v>
      </c>
      <c r="G7" s="168">
        <f>E7/B7</f>
        <v>53223.60175702977</v>
      </c>
    </row>
    <row r="8" spans="1:7" x14ac:dyDescent="0.25">
      <c r="A8" s="165" t="s">
        <v>4</v>
      </c>
      <c r="B8" s="166">
        <v>0.2</v>
      </c>
      <c r="C8" s="166">
        <v>12357.364</v>
      </c>
      <c r="D8" s="166">
        <v>157.01599999999996</v>
      </c>
      <c r="E8" s="166">
        <v>11845.196918000001</v>
      </c>
      <c r="F8" s="167">
        <f t="shared" ref="F8:F65" si="0">D8/C8</f>
        <v>1.2706269719011268E-2</v>
      </c>
      <c r="G8" s="168">
        <f t="shared" ref="G8:G65" si="1">E8/B8</f>
        <v>59225.984590000007</v>
      </c>
    </row>
    <row r="9" spans="1:7" x14ac:dyDescent="0.25">
      <c r="A9" s="165" t="s">
        <v>5</v>
      </c>
      <c r="B9" s="166">
        <v>4.5999999999999996</v>
      </c>
      <c r="C9" s="166">
        <v>322803.60000000003</v>
      </c>
      <c r="D9" s="166">
        <v>5026</v>
      </c>
      <c r="E9" s="166">
        <v>167527.37423999998</v>
      </c>
      <c r="F9" s="167">
        <f t="shared" si="0"/>
        <v>1.5569838750249376E-2</v>
      </c>
      <c r="G9" s="168">
        <f t="shared" si="1"/>
        <v>36418.994399999996</v>
      </c>
    </row>
    <row r="10" spans="1:7" x14ac:dyDescent="0.25">
      <c r="A10" s="165" t="s">
        <v>19</v>
      </c>
      <c r="B10" s="166">
        <v>20.399999999999999</v>
      </c>
      <c r="C10" s="166">
        <v>1440543.7</v>
      </c>
      <c r="D10" s="166">
        <v>19226.400000000001</v>
      </c>
      <c r="E10" s="166">
        <v>742685.18106689991</v>
      </c>
      <c r="F10" s="167">
        <f t="shared" si="0"/>
        <v>1.3346627387978581E-2</v>
      </c>
      <c r="G10" s="168">
        <f t="shared" si="1"/>
        <v>36406.136326808824</v>
      </c>
    </row>
    <row r="11" spans="1:7" x14ac:dyDescent="0.25">
      <c r="A11" s="165" t="s">
        <v>6</v>
      </c>
      <c r="B11" s="166">
        <v>4</v>
      </c>
      <c r="C11" s="166">
        <v>339396.69</v>
      </c>
      <c r="D11" s="166">
        <v>6153.079999999999</v>
      </c>
      <c r="E11" s="166">
        <v>146155.958625</v>
      </c>
      <c r="F11" s="167">
        <f t="shared" si="0"/>
        <v>1.8129463784693951E-2</v>
      </c>
      <c r="G11" s="168">
        <f t="shared" si="1"/>
        <v>36538.98965625</v>
      </c>
    </row>
    <row r="12" spans="1:7" x14ac:dyDescent="0.25">
      <c r="A12" s="165" t="s">
        <v>7</v>
      </c>
      <c r="B12" s="166">
        <v>2.7</v>
      </c>
      <c r="C12" s="166">
        <v>163438.20000000001</v>
      </c>
      <c r="D12" s="166">
        <v>6627.2309999999998</v>
      </c>
      <c r="E12" s="166">
        <v>133310.009525</v>
      </c>
      <c r="F12" s="167">
        <f t="shared" si="0"/>
        <v>4.0548849656934546E-2</v>
      </c>
      <c r="G12" s="168">
        <f t="shared" si="1"/>
        <v>49374.077601851852</v>
      </c>
    </row>
    <row r="13" spans="1:7" x14ac:dyDescent="0.25">
      <c r="A13" s="165" t="s">
        <v>41</v>
      </c>
      <c r="B13" s="166">
        <v>31.849999999999998</v>
      </c>
      <c r="C13" s="166">
        <v>2888798.7600000002</v>
      </c>
      <c r="D13" s="166">
        <v>140055.50080000001</v>
      </c>
      <c r="E13" s="166">
        <v>1674468.2395157993</v>
      </c>
      <c r="F13" s="167">
        <f t="shared" si="0"/>
        <v>4.8482262848935864E-2</v>
      </c>
      <c r="G13" s="168">
        <f t="shared" si="1"/>
        <v>52573.571099397159</v>
      </c>
    </row>
    <row r="14" spans="1:7" x14ac:dyDescent="0.25">
      <c r="A14" s="165" t="s">
        <v>8</v>
      </c>
      <c r="B14" s="166">
        <v>2.75</v>
      </c>
      <c r="C14" s="166">
        <v>294288</v>
      </c>
      <c r="D14" s="166">
        <v>3148</v>
      </c>
      <c r="E14" s="166">
        <v>167221.74559999999</v>
      </c>
      <c r="F14" s="167">
        <f t="shared" si="0"/>
        <v>1.0697004295112271E-2</v>
      </c>
      <c r="G14" s="168">
        <f t="shared" si="1"/>
        <v>60807.907490909092</v>
      </c>
    </row>
    <row r="15" spans="1:7" x14ac:dyDescent="0.25">
      <c r="A15" s="165" t="s">
        <v>20</v>
      </c>
      <c r="B15" s="166">
        <v>9.6</v>
      </c>
      <c r="C15" s="166">
        <v>899010.88344000001</v>
      </c>
      <c r="D15" s="166">
        <v>5584.72</v>
      </c>
      <c r="E15" s="166">
        <v>457833.14236110001</v>
      </c>
      <c r="F15" s="167">
        <f t="shared" si="0"/>
        <v>6.2120716254629466E-3</v>
      </c>
      <c r="G15" s="168">
        <f t="shared" si="1"/>
        <v>47690.952329281252</v>
      </c>
    </row>
    <row r="16" spans="1:7" x14ac:dyDescent="0.25">
      <c r="A16" s="165" t="s">
        <v>42</v>
      </c>
      <c r="B16" s="166">
        <v>52.7</v>
      </c>
      <c r="C16" s="166">
        <v>4388179.5</v>
      </c>
      <c r="D16" s="166">
        <v>63592.224999999991</v>
      </c>
      <c r="E16" s="166">
        <v>3448567.1355499993</v>
      </c>
      <c r="F16" s="167">
        <f t="shared" si="0"/>
        <v>1.4491710058806844E-2</v>
      </c>
      <c r="G16" s="168">
        <f t="shared" si="1"/>
        <v>65437.706556925979</v>
      </c>
    </row>
    <row r="17" spans="1:7" x14ac:dyDescent="0.25">
      <c r="A17" s="165" t="s">
        <v>9</v>
      </c>
      <c r="B17" s="166">
        <v>3.5</v>
      </c>
      <c r="C17" s="166">
        <v>232377.80869199999</v>
      </c>
      <c r="D17" s="166">
        <v>45648.764999999999</v>
      </c>
      <c r="E17" s="166">
        <v>130644.96752554999</v>
      </c>
      <c r="F17" s="167">
        <f t="shared" si="0"/>
        <v>0.19644201508287801</v>
      </c>
      <c r="G17" s="168">
        <f t="shared" si="1"/>
        <v>37327.133578728572</v>
      </c>
    </row>
    <row r="18" spans="1:7" x14ac:dyDescent="0.25">
      <c r="A18" s="165" t="s">
        <v>21</v>
      </c>
      <c r="B18" s="166">
        <v>11</v>
      </c>
      <c r="C18" s="166">
        <v>698160.32499999995</v>
      </c>
      <c r="D18" s="166">
        <v>11120.119999999999</v>
      </c>
      <c r="E18" s="166">
        <v>385540.00367950002</v>
      </c>
      <c r="F18" s="167">
        <f t="shared" si="0"/>
        <v>1.5927745536098745E-2</v>
      </c>
      <c r="G18" s="168">
        <f t="shared" si="1"/>
        <v>35049.091243590912</v>
      </c>
    </row>
    <row r="19" spans="1:7" x14ac:dyDescent="0.25">
      <c r="A19" s="165" t="s">
        <v>22</v>
      </c>
      <c r="B19" s="166">
        <v>15.950000000000001</v>
      </c>
      <c r="C19" s="166">
        <v>1163578.0202819998</v>
      </c>
      <c r="D19" s="166">
        <v>4662.1814999999997</v>
      </c>
      <c r="E19" s="166">
        <v>465009.371113275</v>
      </c>
      <c r="F19" s="167">
        <f t="shared" si="0"/>
        <v>4.0067631209380295E-3</v>
      </c>
      <c r="G19" s="168">
        <f t="shared" si="1"/>
        <v>29154.192546286831</v>
      </c>
    </row>
    <row r="20" spans="1:7" x14ac:dyDescent="0.25">
      <c r="A20" s="165" t="s">
        <v>10</v>
      </c>
      <c r="B20" s="166">
        <v>1.44</v>
      </c>
      <c r="C20" s="166">
        <v>73934.337830000004</v>
      </c>
      <c r="D20" s="166">
        <v>1451.2475999999997</v>
      </c>
      <c r="E20" s="166">
        <v>32326.146022099994</v>
      </c>
      <c r="F20" s="167">
        <f t="shared" si="0"/>
        <v>1.9628871274087932E-2</v>
      </c>
      <c r="G20" s="168">
        <f t="shared" si="1"/>
        <v>22448.712515347219</v>
      </c>
    </row>
    <row r="21" spans="1:7" x14ac:dyDescent="0.25">
      <c r="A21" s="165" t="s">
        <v>43</v>
      </c>
      <c r="B21" s="166">
        <v>78</v>
      </c>
      <c r="C21" s="166">
        <v>5651492.1999999993</v>
      </c>
      <c r="D21" s="166">
        <v>103533</v>
      </c>
      <c r="E21" s="166">
        <v>4579494.2055999981</v>
      </c>
      <c r="F21" s="167">
        <f t="shared" si="0"/>
        <v>1.8319586462492158E-2</v>
      </c>
      <c r="G21" s="168">
        <f t="shared" si="1"/>
        <v>58711.464174358953</v>
      </c>
    </row>
    <row r="22" spans="1:7" x14ac:dyDescent="0.25">
      <c r="A22" s="165" t="s">
        <v>23</v>
      </c>
      <c r="B22" s="166">
        <v>14</v>
      </c>
      <c r="C22" s="166">
        <v>910883.95000000007</v>
      </c>
      <c r="D22" s="166">
        <v>31234.031999999999</v>
      </c>
      <c r="E22" s="166">
        <v>387229.91608699999</v>
      </c>
      <c r="F22" s="167">
        <f t="shared" si="0"/>
        <v>3.4289803876772662E-2</v>
      </c>
      <c r="G22" s="168">
        <f t="shared" si="1"/>
        <v>27659.279720499999</v>
      </c>
    </row>
    <row r="23" spans="1:7" x14ac:dyDescent="0.25">
      <c r="A23" s="165" t="s">
        <v>24</v>
      </c>
      <c r="B23" s="166">
        <v>3</v>
      </c>
      <c r="C23" s="166">
        <v>236977</v>
      </c>
      <c r="D23" s="166">
        <v>4155.1499999999996</v>
      </c>
      <c r="E23" s="166">
        <v>101316.5655</v>
      </c>
      <c r="F23" s="167">
        <f t="shared" si="0"/>
        <v>1.7533980090894897E-2</v>
      </c>
      <c r="G23" s="168">
        <f t="shared" si="1"/>
        <v>33772.188499999997</v>
      </c>
    </row>
    <row r="24" spans="1:7" x14ac:dyDescent="0.25">
      <c r="A24" s="165" t="s">
        <v>11</v>
      </c>
      <c r="B24" s="166">
        <v>4</v>
      </c>
      <c r="C24" s="166">
        <v>323279.89</v>
      </c>
      <c r="D24" s="166">
        <v>45024</v>
      </c>
      <c r="E24" s="166">
        <v>79891.94868300001</v>
      </c>
      <c r="F24" s="167">
        <f t="shared" si="0"/>
        <v>0.13927250470173075</v>
      </c>
      <c r="G24" s="168">
        <f t="shared" si="1"/>
        <v>19972.987170750002</v>
      </c>
    </row>
    <row r="25" spans="1:7" x14ac:dyDescent="0.25">
      <c r="A25" s="165" t="s">
        <v>54</v>
      </c>
      <c r="B25" s="166">
        <v>701.25</v>
      </c>
      <c r="C25" s="166">
        <v>66881815.946740016</v>
      </c>
      <c r="D25" s="166">
        <v>10240367.363289984</v>
      </c>
      <c r="E25" s="166">
        <v>33658902.95926287</v>
      </c>
      <c r="F25" s="167">
        <f t="shared" si="0"/>
        <v>0.15311138339073649</v>
      </c>
      <c r="G25" s="168">
        <f t="shared" si="1"/>
        <v>47998.435592531721</v>
      </c>
    </row>
    <row r="26" spans="1:7" x14ac:dyDescent="0.25">
      <c r="A26" s="165" t="s">
        <v>25</v>
      </c>
      <c r="B26" s="166">
        <v>12</v>
      </c>
      <c r="C26" s="166">
        <v>887860.25000000012</v>
      </c>
      <c r="D26" s="166">
        <v>12408</v>
      </c>
      <c r="E26" s="166">
        <v>495699.21239800012</v>
      </c>
      <c r="F26" s="167">
        <f t="shared" si="0"/>
        <v>1.3975172331456441E-2</v>
      </c>
      <c r="G26" s="168">
        <f t="shared" si="1"/>
        <v>41308.267699833341</v>
      </c>
    </row>
    <row r="27" spans="1:7" x14ac:dyDescent="0.25">
      <c r="A27" s="165" t="s">
        <v>26</v>
      </c>
      <c r="B27" s="166">
        <v>21</v>
      </c>
      <c r="C27" s="166">
        <v>1946279.9600000002</v>
      </c>
      <c r="D27" s="166">
        <v>30165.239999999991</v>
      </c>
      <c r="E27" s="166">
        <v>827959.61844999983</v>
      </c>
      <c r="F27" s="167">
        <f t="shared" si="0"/>
        <v>1.5498921337092731E-2</v>
      </c>
      <c r="G27" s="168">
        <f t="shared" si="1"/>
        <v>39426.64849761904</v>
      </c>
    </row>
    <row r="28" spans="1:7" x14ac:dyDescent="0.25">
      <c r="A28" s="165" t="s">
        <v>12</v>
      </c>
      <c r="B28" s="166">
        <v>3</v>
      </c>
      <c r="C28" s="166">
        <v>206351.56</v>
      </c>
      <c r="D28" s="166">
        <v>15023</v>
      </c>
      <c r="E28" s="166">
        <v>85240.968330000003</v>
      </c>
      <c r="F28" s="167">
        <f t="shared" si="0"/>
        <v>7.2802938829248487E-2</v>
      </c>
      <c r="G28" s="168">
        <f t="shared" si="1"/>
        <v>28413.65611</v>
      </c>
    </row>
    <row r="29" spans="1:7" x14ac:dyDescent="0.25">
      <c r="A29" s="165" t="s">
        <v>27</v>
      </c>
      <c r="B29" s="166">
        <v>9.19</v>
      </c>
      <c r="C29" s="166">
        <v>725703.25</v>
      </c>
      <c r="D29" s="166">
        <v>3767.9</v>
      </c>
      <c r="E29" s="166">
        <v>476147.55184750003</v>
      </c>
      <c r="F29" s="167">
        <f t="shared" si="0"/>
        <v>5.1920671431470097E-3</v>
      </c>
      <c r="G29" s="168">
        <f t="shared" si="1"/>
        <v>51811.485511153434</v>
      </c>
    </row>
    <row r="30" spans="1:7" x14ac:dyDescent="0.25">
      <c r="A30" s="165" t="s">
        <v>28</v>
      </c>
      <c r="B30" s="166">
        <v>29</v>
      </c>
      <c r="C30" s="166">
        <v>1964836.2239999997</v>
      </c>
      <c r="D30" s="166">
        <v>39680.60000000002</v>
      </c>
      <c r="E30" s="166">
        <v>1398425.913706</v>
      </c>
      <c r="F30" s="167">
        <f t="shared" si="0"/>
        <v>2.0195372782378034E-2</v>
      </c>
      <c r="G30" s="168">
        <f t="shared" si="1"/>
        <v>48221.583231241377</v>
      </c>
    </row>
    <row r="31" spans="1:7" x14ac:dyDescent="0.25">
      <c r="A31" s="165" t="s">
        <v>13</v>
      </c>
      <c r="B31" s="166">
        <v>3</v>
      </c>
      <c r="C31" s="166">
        <v>168753.42</v>
      </c>
      <c r="D31" s="166">
        <v>7620</v>
      </c>
      <c r="E31" s="166">
        <v>108984.527028</v>
      </c>
      <c r="F31" s="167">
        <f t="shared" si="0"/>
        <v>4.5154640421509677E-2</v>
      </c>
      <c r="G31" s="168">
        <f t="shared" si="1"/>
        <v>36328.175675999999</v>
      </c>
    </row>
    <row r="32" spans="1:7" x14ac:dyDescent="0.25">
      <c r="A32" s="165" t="s">
        <v>14</v>
      </c>
      <c r="B32" s="166">
        <v>3.95</v>
      </c>
      <c r="C32" s="166">
        <v>324589.7</v>
      </c>
      <c r="D32" s="166">
        <v>4686.2425000000003</v>
      </c>
      <c r="E32" s="166">
        <v>200599.47784399998</v>
      </c>
      <c r="F32" s="167">
        <f t="shared" si="0"/>
        <v>1.4437434397949166E-2</v>
      </c>
      <c r="G32" s="168">
        <f t="shared" si="1"/>
        <v>50784.677935189866</v>
      </c>
    </row>
    <row r="33" spans="1:7" x14ac:dyDescent="0.25">
      <c r="A33" s="165" t="s">
        <v>44</v>
      </c>
      <c r="B33" s="166">
        <v>37</v>
      </c>
      <c r="C33" s="166">
        <v>3564620.8000000007</v>
      </c>
      <c r="D33" s="166">
        <v>337693.00999999983</v>
      </c>
      <c r="E33" s="166">
        <v>1263391.3824600005</v>
      </c>
      <c r="F33" s="167">
        <f t="shared" si="0"/>
        <v>9.4734623666001092E-2</v>
      </c>
      <c r="G33" s="168">
        <f t="shared" si="1"/>
        <v>34145.713039459471</v>
      </c>
    </row>
    <row r="34" spans="1:7" x14ac:dyDescent="0.25">
      <c r="A34" s="165" t="s">
        <v>29</v>
      </c>
      <c r="B34" s="166">
        <v>9.5</v>
      </c>
      <c r="C34" s="166">
        <v>932885.35999999987</v>
      </c>
      <c r="D34" s="166">
        <v>17274.284975300001</v>
      </c>
      <c r="E34" s="166">
        <v>384249.27420000004</v>
      </c>
      <c r="F34" s="167">
        <f t="shared" si="0"/>
        <v>1.8517050128538843E-2</v>
      </c>
      <c r="G34" s="168">
        <f t="shared" si="1"/>
        <v>40447.292021052635</v>
      </c>
    </row>
    <row r="35" spans="1:7" x14ac:dyDescent="0.25">
      <c r="A35" s="165" t="s">
        <v>30</v>
      </c>
      <c r="B35" s="166">
        <v>7.19</v>
      </c>
      <c r="C35" s="166">
        <v>605290.40942000004</v>
      </c>
      <c r="D35" s="166">
        <v>25578.331199999997</v>
      </c>
      <c r="E35" s="166">
        <v>378858.77176252002</v>
      </c>
      <c r="F35" s="167">
        <f t="shared" si="0"/>
        <v>4.2257948914983808E-2</v>
      </c>
      <c r="G35" s="168">
        <f t="shared" si="1"/>
        <v>52692.457825107093</v>
      </c>
    </row>
    <row r="36" spans="1:7" x14ac:dyDescent="0.25">
      <c r="A36" s="165" t="s">
        <v>55</v>
      </c>
      <c r="B36" s="166">
        <v>185.125</v>
      </c>
      <c r="C36" s="166">
        <v>15097368.268239986</v>
      </c>
      <c r="D36" s="166">
        <v>413931.32499999995</v>
      </c>
      <c r="E36" s="166">
        <v>8442586.0352540184</v>
      </c>
      <c r="F36" s="167">
        <f t="shared" si="0"/>
        <v>2.7417449031218143E-2</v>
      </c>
      <c r="G36" s="168">
        <f t="shared" si="1"/>
        <v>45604.786145869104</v>
      </c>
    </row>
    <row r="37" spans="1:7" x14ac:dyDescent="0.25">
      <c r="A37" s="165" t="s">
        <v>31</v>
      </c>
      <c r="B37" s="166">
        <v>30.7</v>
      </c>
      <c r="C37" s="166">
        <v>2640154.5393499997</v>
      </c>
      <c r="D37" s="166">
        <v>62147.9</v>
      </c>
      <c r="E37" s="166">
        <v>1647534.8131072002</v>
      </c>
      <c r="F37" s="167">
        <f t="shared" si="0"/>
        <v>2.3539493265913397E-2</v>
      </c>
      <c r="G37" s="168">
        <f t="shared" si="1"/>
        <v>53665.629091439747</v>
      </c>
    </row>
    <row r="38" spans="1:7" x14ac:dyDescent="0.25">
      <c r="A38" s="165" t="s">
        <v>15</v>
      </c>
      <c r="B38" s="166">
        <v>1.8</v>
      </c>
      <c r="C38" s="166">
        <v>104613.43229999999</v>
      </c>
      <c r="D38" s="166">
        <v>1883.7</v>
      </c>
      <c r="E38" s="166">
        <v>73382.017254300008</v>
      </c>
      <c r="F38" s="167">
        <f t="shared" si="0"/>
        <v>1.800629191285984E-2</v>
      </c>
      <c r="G38" s="168">
        <f t="shared" si="1"/>
        <v>40767.787363500007</v>
      </c>
    </row>
    <row r="39" spans="1:7" x14ac:dyDescent="0.25">
      <c r="A39" s="165" t="s">
        <v>56</v>
      </c>
      <c r="B39" s="166">
        <v>97</v>
      </c>
      <c r="C39" s="166">
        <v>9642577.910000002</v>
      </c>
      <c r="D39" s="166">
        <v>166411.34000000005</v>
      </c>
      <c r="E39" s="166">
        <v>5131631.1674722023</v>
      </c>
      <c r="F39" s="167">
        <f t="shared" si="0"/>
        <v>1.7257972043702163E-2</v>
      </c>
      <c r="G39" s="168">
        <f t="shared" si="1"/>
        <v>52903.41409765157</v>
      </c>
    </row>
    <row r="40" spans="1:7" x14ac:dyDescent="0.25">
      <c r="A40" s="165" t="s">
        <v>57</v>
      </c>
      <c r="B40" s="166">
        <v>102.35000000000001</v>
      </c>
      <c r="C40" s="166">
        <v>10364404.998</v>
      </c>
      <c r="D40" s="166">
        <v>122618.99800000001</v>
      </c>
      <c r="E40" s="166">
        <v>6481676.7828750014</v>
      </c>
      <c r="F40" s="167">
        <f t="shared" si="0"/>
        <v>1.1830780254501978E-2</v>
      </c>
      <c r="G40" s="168">
        <f t="shared" si="1"/>
        <v>63328.546974841243</v>
      </c>
    </row>
    <row r="41" spans="1:7" x14ac:dyDescent="0.25">
      <c r="A41" s="165" t="s">
        <v>16</v>
      </c>
      <c r="B41" s="166">
        <v>4</v>
      </c>
      <c r="C41" s="166">
        <v>356615</v>
      </c>
      <c r="D41" s="166">
        <v>4035.0399999999995</v>
      </c>
      <c r="E41" s="166">
        <v>170083.93700000001</v>
      </c>
      <c r="F41" s="167">
        <f t="shared" si="0"/>
        <v>1.1314835326612732E-2</v>
      </c>
      <c r="G41" s="168">
        <f t="shared" si="1"/>
        <v>42520.984250000001</v>
      </c>
    </row>
    <row r="42" spans="1:7" x14ac:dyDescent="0.25">
      <c r="A42" s="165" t="s">
        <v>58</v>
      </c>
      <c r="B42" s="166">
        <v>119.95</v>
      </c>
      <c r="C42" s="166">
        <v>10546566.668679999</v>
      </c>
      <c r="D42" s="166">
        <v>297104.60584999807</v>
      </c>
      <c r="E42" s="166">
        <v>5627380.3604447972</v>
      </c>
      <c r="F42" s="167">
        <f t="shared" si="0"/>
        <v>2.8170741738380675E-2</v>
      </c>
      <c r="G42" s="168">
        <f t="shared" si="1"/>
        <v>46914.383997038742</v>
      </c>
    </row>
    <row r="43" spans="1:7" x14ac:dyDescent="0.25">
      <c r="A43" s="165" t="s">
        <v>59</v>
      </c>
      <c r="B43" s="166">
        <v>158.71499999999995</v>
      </c>
      <c r="C43" s="166">
        <v>14323108.944070002</v>
      </c>
      <c r="D43" s="166">
        <v>290688.31</v>
      </c>
      <c r="E43" s="166">
        <v>10221154.581197741</v>
      </c>
      <c r="F43" s="167">
        <f t="shared" si="0"/>
        <v>2.0295056829847658E-2</v>
      </c>
      <c r="G43" s="168">
        <f t="shared" si="1"/>
        <v>64399.424006538415</v>
      </c>
    </row>
    <row r="44" spans="1:7" x14ac:dyDescent="0.25">
      <c r="A44" s="165" t="s">
        <v>60</v>
      </c>
      <c r="B44" s="166">
        <v>42</v>
      </c>
      <c r="C44" s="166">
        <v>4859708.9400000004</v>
      </c>
      <c r="D44" s="166">
        <v>92316.300000000017</v>
      </c>
      <c r="E44" s="166">
        <v>2583290.030758</v>
      </c>
      <c r="F44" s="167">
        <f t="shared" si="0"/>
        <v>1.899626112176175E-2</v>
      </c>
      <c r="G44" s="168">
        <f t="shared" si="1"/>
        <v>61506.905494238097</v>
      </c>
    </row>
    <row r="45" spans="1:7" x14ac:dyDescent="0.25">
      <c r="A45" s="165" t="s">
        <v>45</v>
      </c>
      <c r="B45" s="166">
        <v>29.345000000000002</v>
      </c>
      <c r="C45" s="166">
        <v>2839794.6307499995</v>
      </c>
      <c r="D45" s="166">
        <v>8299.1850000000013</v>
      </c>
      <c r="E45" s="166">
        <v>1999501.4231412997</v>
      </c>
      <c r="F45" s="167">
        <f t="shared" si="0"/>
        <v>2.9224595715952031E-3</v>
      </c>
      <c r="G45" s="168">
        <f t="shared" si="1"/>
        <v>68137.721013504837</v>
      </c>
    </row>
    <row r="46" spans="1:7" x14ac:dyDescent="0.25">
      <c r="A46" s="165" t="s">
        <v>32</v>
      </c>
      <c r="B46" s="166">
        <v>15</v>
      </c>
      <c r="C46" s="166">
        <v>1456233</v>
      </c>
      <c r="D46" s="166">
        <v>19564.2</v>
      </c>
      <c r="E46" s="166">
        <v>833788.91809999989</v>
      </c>
      <c r="F46" s="167">
        <f t="shared" si="0"/>
        <v>1.3434800612264659E-2</v>
      </c>
      <c r="G46" s="168">
        <f t="shared" si="1"/>
        <v>55585.927873333327</v>
      </c>
    </row>
    <row r="47" spans="1:7" x14ac:dyDescent="0.25">
      <c r="A47" s="165" t="s">
        <v>46</v>
      </c>
      <c r="B47" s="166">
        <v>46</v>
      </c>
      <c r="C47" s="166">
        <v>4759833.1833399991</v>
      </c>
      <c r="D47" s="166">
        <v>67674.782294239994</v>
      </c>
      <c r="E47" s="166">
        <v>2831685.2687793998</v>
      </c>
      <c r="F47" s="167">
        <f t="shared" si="0"/>
        <v>1.421788951157155E-2</v>
      </c>
      <c r="G47" s="168">
        <f t="shared" si="1"/>
        <v>61558.375408247819</v>
      </c>
    </row>
    <row r="48" spans="1:7" x14ac:dyDescent="0.25">
      <c r="A48" s="165" t="s">
        <v>47</v>
      </c>
      <c r="B48" s="166">
        <v>26.975000000000001</v>
      </c>
      <c r="C48" s="166">
        <v>2582036.6784999999</v>
      </c>
      <c r="D48" s="166">
        <v>1621.75</v>
      </c>
      <c r="E48" s="166">
        <v>1458664.6694759997</v>
      </c>
      <c r="F48" s="167">
        <f t="shared" si="0"/>
        <v>6.2808945105386122E-4</v>
      </c>
      <c r="G48" s="168">
        <f t="shared" si="1"/>
        <v>54074.686542205731</v>
      </c>
    </row>
    <row r="49" spans="1:7" x14ac:dyDescent="0.25">
      <c r="A49" s="165" t="s">
        <v>61</v>
      </c>
      <c r="B49" s="166">
        <v>73.260000000000005</v>
      </c>
      <c r="C49" s="166">
        <v>8284070.2451180024</v>
      </c>
      <c r="D49" s="166">
        <v>261037.26254020049</v>
      </c>
      <c r="E49" s="166">
        <v>4214563.7222633613</v>
      </c>
      <c r="F49" s="167">
        <f t="shared" si="0"/>
        <v>3.1510749524852943E-2</v>
      </c>
      <c r="G49" s="168">
        <f t="shared" si="1"/>
        <v>57528.852337747216</v>
      </c>
    </row>
    <row r="50" spans="1:7" x14ac:dyDescent="0.25">
      <c r="A50" s="165" t="s">
        <v>33</v>
      </c>
      <c r="B50" s="166">
        <v>13</v>
      </c>
      <c r="C50" s="166">
        <v>1381860.6999999997</v>
      </c>
      <c r="D50" s="166">
        <v>55473.455495799994</v>
      </c>
      <c r="E50" s="166">
        <v>726746.85616499989</v>
      </c>
      <c r="F50" s="167">
        <f t="shared" si="0"/>
        <v>4.0144028624448186E-2</v>
      </c>
      <c r="G50" s="168">
        <f t="shared" si="1"/>
        <v>55903.604320384606</v>
      </c>
    </row>
    <row r="51" spans="1:7" x14ac:dyDescent="0.25">
      <c r="A51" s="165" t="s">
        <v>34</v>
      </c>
      <c r="B51" s="166">
        <v>22</v>
      </c>
      <c r="C51" s="166">
        <v>1866188.17</v>
      </c>
      <c r="D51" s="166">
        <v>63650.680000000044</v>
      </c>
      <c r="E51" s="166">
        <v>853716.57561499998</v>
      </c>
      <c r="F51" s="167">
        <f t="shared" si="0"/>
        <v>3.4107321556968204E-2</v>
      </c>
      <c r="G51" s="168">
        <f t="shared" si="1"/>
        <v>38805.298891590908</v>
      </c>
    </row>
    <row r="52" spans="1:7" x14ac:dyDescent="0.25">
      <c r="A52" s="165" t="s">
        <v>17</v>
      </c>
      <c r="B52" s="166">
        <v>0.8</v>
      </c>
      <c r="C52" s="166">
        <v>51660.671999999999</v>
      </c>
      <c r="D52" s="166">
        <v>1091.712</v>
      </c>
      <c r="E52" s="166">
        <v>39920.597512479995</v>
      </c>
      <c r="F52" s="167">
        <f t="shared" si="0"/>
        <v>2.113236157671352E-2</v>
      </c>
      <c r="G52" s="168">
        <f t="shared" si="1"/>
        <v>49900.746890599992</v>
      </c>
    </row>
    <row r="53" spans="1:7" x14ac:dyDescent="0.25">
      <c r="A53" s="165" t="s">
        <v>35</v>
      </c>
      <c r="B53" s="166">
        <v>2.75</v>
      </c>
      <c r="C53" s="166">
        <v>231320.94999999998</v>
      </c>
      <c r="D53" s="166">
        <v>8765.9566500000001</v>
      </c>
      <c r="E53" s="166">
        <v>148015.86680400002</v>
      </c>
      <c r="F53" s="167">
        <f t="shared" si="0"/>
        <v>3.7895212906569858E-2</v>
      </c>
      <c r="G53" s="168">
        <f t="shared" si="1"/>
        <v>53823.951565090916</v>
      </c>
    </row>
    <row r="54" spans="1:7" x14ac:dyDescent="0.25">
      <c r="A54" s="165" t="s">
        <v>48</v>
      </c>
      <c r="B54" s="166">
        <v>21</v>
      </c>
      <c r="C54" s="166">
        <v>1764208.0524500001</v>
      </c>
      <c r="D54" s="166">
        <v>49112.387999999999</v>
      </c>
      <c r="E54" s="166">
        <v>1301242.2052579001</v>
      </c>
      <c r="F54" s="167">
        <f t="shared" si="0"/>
        <v>2.7838206458584286E-2</v>
      </c>
      <c r="G54" s="168">
        <f t="shared" si="1"/>
        <v>61963.91453609048</v>
      </c>
    </row>
    <row r="55" spans="1:7" x14ac:dyDescent="0.25">
      <c r="A55" s="165" t="s">
        <v>49</v>
      </c>
      <c r="B55" s="166">
        <v>16</v>
      </c>
      <c r="C55" s="166">
        <v>1506117.91</v>
      </c>
      <c r="D55" s="166">
        <v>27713</v>
      </c>
      <c r="E55" s="166">
        <v>1052207.4819048003</v>
      </c>
      <c r="F55" s="167">
        <f t="shared" si="0"/>
        <v>1.8400285804980567E-2</v>
      </c>
      <c r="G55" s="168">
        <f t="shared" si="1"/>
        <v>65762.967619050018</v>
      </c>
    </row>
    <row r="56" spans="1:7" x14ac:dyDescent="0.25">
      <c r="A56" s="165" t="s">
        <v>50</v>
      </c>
      <c r="B56" s="166">
        <v>33.6</v>
      </c>
      <c r="C56" s="166">
        <v>3024044.0774000008</v>
      </c>
      <c r="D56" s="166">
        <v>67811.336511999994</v>
      </c>
      <c r="E56" s="166">
        <v>1741901.7284689995</v>
      </c>
      <c r="F56" s="167">
        <f t="shared" si="0"/>
        <v>2.2424056917286248E-2</v>
      </c>
      <c r="G56" s="168">
        <f t="shared" si="1"/>
        <v>51842.313347291652</v>
      </c>
    </row>
    <row r="57" spans="1:7" x14ac:dyDescent="0.25">
      <c r="A57" s="165" t="s">
        <v>36</v>
      </c>
      <c r="B57" s="166">
        <v>11</v>
      </c>
      <c r="C57" s="166">
        <v>733226.57</v>
      </c>
      <c r="D57" s="166">
        <v>9274.5700000000015</v>
      </c>
      <c r="E57" s="166">
        <v>528515.28603899991</v>
      </c>
      <c r="F57" s="167">
        <f t="shared" si="0"/>
        <v>1.264898242844637E-2</v>
      </c>
      <c r="G57" s="168">
        <f t="shared" si="1"/>
        <v>48046.844185363625</v>
      </c>
    </row>
    <row r="58" spans="1:7" x14ac:dyDescent="0.25">
      <c r="A58" s="165" t="s">
        <v>37</v>
      </c>
      <c r="B58" s="166">
        <v>6.65</v>
      </c>
      <c r="C58" s="166">
        <v>591590.80000000005</v>
      </c>
      <c r="D58" s="166">
        <v>8358.7839999999997</v>
      </c>
      <c r="E58" s="166">
        <v>322318.926844</v>
      </c>
      <c r="F58" s="167">
        <f t="shared" si="0"/>
        <v>1.4129333992347412E-2</v>
      </c>
      <c r="G58" s="168">
        <f t="shared" si="1"/>
        <v>48469.011555488716</v>
      </c>
    </row>
    <row r="59" spans="1:7" x14ac:dyDescent="0.25">
      <c r="A59" s="165" t="s">
        <v>18</v>
      </c>
      <c r="B59" s="166">
        <v>1.3</v>
      </c>
      <c r="C59" s="166">
        <v>77882.198730000004</v>
      </c>
      <c r="D59" s="166">
        <v>1558.7</v>
      </c>
      <c r="E59" s="166">
        <v>50159.494336700001</v>
      </c>
      <c r="F59" s="167">
        <f t="shared" si="0"/>
        <v>2.00135592653677E-2</v>
      </c>
      <c r="G59" s="168">
        <f t="shared" si="1"/>
        <v>38584.226412846154</v>
      </c>
    </row>
    <row r="60" spans="1:7" x14ac:dyDescent="0.25">
      <c r="A60" s="165" t="s">
        <v>51</v>
      </c>
      <c r="B60" s="166">
        <v>23.5</v>
      </c>
      <c r="C60" s="166">
        <v>2203061.8884999999</v>
      </c>
      <c r="D60" s="166">
        <v>2129.6299999999992</v>
      </c>
      <c r="E60" s="166">
        <v>1355585.0036845999</v>
      </c>
      <c r="F60" s="167">
        <f t="shared" si="0"/>
        <v>9.6666825889762074E-4</v>
      </c>
      <c r="G60" s="168">
        <f t="shared" si="1"/>
        <v>57684.46824189787</v>
      </c>
    </row>
    <row r="61" spans="1:7" x14ac:dyDescent="0.25">
      <c r="A61" s="165" t="s">
        <v>38</v>
      </c>
      <c r="B61" s="166">
        <v>5</v>
      </c>
      <c r="C61" s="166">
        <v>397485</v>
      </c>
      <c r="D61" s="166">
        <v>10851.43</v>
      </c>
      <c r="E61" s="166">
        <v>238618.20160000003</v>
      </c>
      <c r="F61" s="167">
        <f t="shared" si="0"/>
        <v>2.7300225165729525E-2</v>
      </c>
      <c r="G61" s="168">
        <f t="shared" si="1"/>
        <v>47723.640320000006</v>
      </c>
    </row>
    <row r="62" spans="1:7" x14ac:dyDescent="0.25">
      <c r="A62" s="165" t="s">
        <v>52</v>
      </c>
      <c r="B62" s="166">
        <v>40.558694000000003</v>
      </c>
      <c r="C62" s="166">
        <v>4502148.3444699999</v>
      </c>
      <c r="D62" s="166">
        <v>34140.415924439993</v>
      </c>
      <c r="E62" s="166">
        <v>2131365.5138201001</v>
      </c>
      <c r="F62" s="167">
        <f t="shared" si="0"/>
        <v>7.583138828904816E-3</v>
      </c>
      <c r="G62" s="168">
        <f t="shared" si="1"/>
        <v>52550.151487128751</v>
      </c>
    </row>
    <row r="63" spans="1:7" x14ac:dyDescent="0.25">
      <c r="A63" s="165" t="s">
        <v>39</v>
      </c>
      <c r="B63" s="166">
        <v>14</v>
      </c>
      <c r="C63" s="166">
        <v>1204108</v>
      </c>
      <c r="D63" s="166">
        <v>49304.060000000012</v>
      </c>
      <c r="E63" s="166">
        <v>877887.22832000011</v>
      </c>
      <c r="F63" s="167">
        <f t="shared" si="0"/>
        <v>4.0946543001126157E-2</v>
      </c>
      <c r="G63" s="168">
        <f t="shared" si="1"/>
        <v>62706.23059428572</v>
      </c>
    </row>
    <row r="64" spans="1:7" x14ac:dyDescent="0.25">
      <c r="A64" s="165" t="s">
        <v>40</v>
      </c>
      <c r="B64" s="166">
        <v>9</v>
      </c>
      <c r="C64" s="166">
        <v>825122.98320000002</v>
      </c>
      <c r="D64" s="166">
        <v>9282.0139910999969</v>
      </c>
      <c r="E64" s="166">
        <v>227080.03765500002</v>
      </c>
      <c r="F64" s="167">
        <f t="shared" si="0"/>
        <v>1.1249249118116186E-2</v>
      </c>
      <c r="G64" s="168">
        <f t="shared" si="1"/>
        <v>25231.115295000003</v>
      </c>
    </row>
    <row r="65" spans="1:7" s="171" customFormat="1" ht="15.75" thickBot="1" x14ac:dyDescent="0.3">
      <c r="A65" s="169" t="s">
        <v>171</v>
      </c>
      <c r="B65" s="176">
        <f>SUM(B7:B64)</f>
        <v>2329.6236940000003</v>
      </c>
      <c r="C65" s="81">
        <f t="shared" ref="C65:D65" si="2">SUM(C7:C64)</f>
        <v>215784100.06050202</v>
      </c>
      <c r="D65" s="81">
        <f t="shared" si="2"/>
        <v>13741855.72212306</v>
      </c>
      <c r="E65" s="81">
        <f>SUM(E7:E64)</f>
        <v>120038124.44920602</v>
      </c>
      <c r="F65" s="177">
        <f t="shared" si="0"/>
        <v>6.3683356272635883E-2</v>
      </c>
      <c r="G65" s="81">
        <f t="shared" si="1"/>
        <v>51526.830173631468</v>
      </c>
    </row>
    <row r="66" spans="1:7" ht="15.75" thickTop="1" x14ac:dyDescent="0.25">
      <c r="B66" s="173">
        <v>2329.6236940000003</v>
      </c>
      <c r="C66" s="173">
        <v>215784100.06050202</v>
      </c>
      <c r="D66" s="173">
        <v>13741855.72212306</v>
      </c>
      <c r="E66" s="173">
        <v>120038124.44920599</v>
      </c>
      <c r="G66" s="170"/>
    </row>
    <row r="67" spans="1:7" x14ac:dyDescent="0.25">
      <c r="B67" s="173">
        <f>B66-B65</f>
        <v>0</v>
      </c>
      <c r="C67" s="173">
        <f t="shared" ref="C67:E67" si="3">C66-C65</f>
        <v>0</v>
      </c>
      <c r="D67" s="173">
        <f t="shared" si="3"/>
        <v>0</v>
      </c>
      <c r="E67" s="173">
        <f t="shared" si="3"/>
        <v>0</v>
      </c>
    </row>
    <row r="68" spans="1:7" x14ac:dyDescent="0.25">
      <c r="D68" s="172"/>
    </row>
  </sheetData>
  <mergeCells count="2">
    <mergeCell ref="B4:C4"/>
    <mergeCell ref="A5:A6"/>
  </mergeCells>
  <printOptions horizontalCentered="1"/>
  <pageMargins left="0.5" right="0.5" top="0.5" bottom="0.5" header="0.3" footer="0.3"/>
  <pageSetup scale="72"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J73"/>
  <sheetViews>
    <sheetView zoomScaleNormal="100" workbookViewId="0">
      <pane xSplit="2" ySplit="6" topLeftCell="C7" activePane="bottomRight" state="frozen"/>
      <selection pane="topRight" activeCell="C1" sqref="C1"/>
      <selection pane="bottomLeft" activeCell="A7" sqref="A7"/>
      <selection pane="bottomRight" activeCell="H13" sqref="H13:H14"/>
    </sheetView>
  </sheetViews>
  <sheetFormatPr defaultColWidth="9.140625" defaultRowHeight="15" x14ac:dyDescent="0.25"/>
  <cols>
    <col min="1" max="1" width="10.85546875" style="187" bestFit="1" customWidth="1"/>
    <col min="2" max="2" width="15.85546875" style="180" customWidth="1"/>
    <col min="3" max="3" width="1.85546875" style="64" customWidth="1"/>
    <col min="4" max="4" width="17" style="210" customWidth="1"/>
    <col min="5" max="5" width="19.140625" style="73" customWidth="1"/>
    <col min="6" max="6" width="5.140625" style="180" customWidth="1"/>
    <col min="7" max="7" width="15.85546875" style="180" customWidth="1"/>
    <col min="8" max="8" width="19.28515625" style="180" customWidth="1"/>
    <col min="9" max="9" width="20.140625" style="180" bestFit="1" customWidth="1"/>
    <col min="10" max="16384" width="9.140625" style="180"/>
  </cols>
  <sheetData>
    <row r="1" spans="1:10" ht="18.75" x14ac:dyDescent="0.25">
      <c r="A1" s="212" t="s">
        <v>195</v>
      </c>
      <c r="C1" s="104"/>
    </row>
    <row r="2" spans="1:10" ht="15.95" customHeight="1" x14ac:dyDescent="0.25">
      <c r="A2" s="50" t="s">
        <v>235</v>
      </c>
      <c r="C2" s="53"/>
    </row>
    <row r="3" spans="1:10" ht="15" customHeight="1" x14ac:dyDescent="0.25">
      <c r="C3" s="53"/>
    </row>
    <row r="4" spans="1:10" ht="15.75" thickBot="1" x14ac:dyDescent="0.3">
      <c r="C4" s="85"/>
      <c r="D4" s="335" t="s">
        <v>234</v>
      </c>
      <c r="E4" s="336"/>
    </row>
    <row r="5" spans="1:10" ht="30" x14ac:dyDescent="0.25">
      <c r="A5" s="333" t="s">
        <v>68</v>
      </c>
      <c r="B5" s="341" t="s">
        <v>63</v>
      </c>
      <c r="C5" s="85"/>
      <c r="D5" s="216" t="s">
        <v>200</v>
      </c>
      <c r="E5" s="217" t="s">
        <v>182</v>
      </c>
      <c r="G5" s="343" t="s">
        <v>68</v>
      </c>
      <c r="H5" s="345" t="s">
        <v>100</v>
      </c>
      <c r="I5" s="345" t="s">
        <v>236</v>
      </c>
    </row>
    <row r="6" spans="1:10" ht="15.95" customHeight="1" x14ac:dyDescent="0.25">
      <c r="A6" s="334"/>
      <c r="B6" s="342"/>
      <c r="C6" s="85"/>
      <c r="D6" s="82" t="s">
        <v>65</v>
      </c>
      <c r="E6" s="82" t="s">
        <v>1</v>
      </c>
      <c r="G6" s="344"/>
      <c r="H6" s="346"/>
      <c r="I6" s="346"/>
    </row>
    <row r="7" spans="1:10" x14ac:dyDescent="0.25">
      <c r="A7" s="215">
        <v>4</v>
      </c>
      <c r="B7" s="165" t="s">
        <v>53</v>
      </c>
      <c r="C7" s="86"/>
      <c r="D7" s="213">
        <v>1</v>
      </c>
      <c r="E7" s="305">
        <v>278079.84000000003</v>
      </c>
      <c r="G7" s="339">
        <v>1</v>
      </c>
      <c r="H7" s="340">
        <f>AVERAGEIF($A$7:$A$64,1,$E$7:$E$64)</f>
        <v>129946.26295999998</v>
      </c>
      <c r="I7" s="340">
        <f>SUMIF($A$7:$A$64,1,$E$7:$E$64)/SUMIF($A$7:$A$64,1,$D$7:$D$64)</f>
        <v>132148.74199322032</v>
      </c>
      <c r="J7" s="253"/>
    </row>
    <row r="8" spans="1:10" x14ac:dyDescent="0.25">
      <c r="A8" s="215">
        <v>1</v>
      </c>
      <c r="B8" s="165" t="s">
        <v>4</v>
      </c>
      <c r="C8" s="85"/>
      <c r="D8" s="213">
        <v>0.99999999999999989</v>
      </c>
      <c r="E8" s="304">
        <v>120000</v>
      </c>
      <c r="G8" s="339"/>
      <c r="H8" s="340"/>
      <c r="I8" s="340"/>
      <c r="J8" s="253"/>
    </row>
    <row r="9" spans="1:10" ht="14.45" customHeight="1" x14ac:dyDescent="0.25">
      <c r="A9" s="215">
        <v>1</v>
      </c>
      <c r="B9" s="165" t="s">
        <v>5</v>
      </c>
      <c r="C9" s="55"/>
      <c r="D9" s="213">
        <v>1</v>
      </c>
      <c r="E9" s="304">
        <v>133750</v>
      </c>
      <c r="G9" s="339">
        <v>2</v>
      </c>
      <c r="H9" s="340">
        <f>AVERAGEIF($A$7:$A$64,2,$E$7:$E$64)</f>
        <v>196515.16763636365</v>
      </c>
      <c r="I9" s="340">
        <f>SUMIF($A$7:$A$64,2,$E$7:$E$64)/SUMIF($A$7:$A$64,2,$D$7:$D$64)</f>
        <v>194307.13204494384</v>
      </c>
      <c r="J9" s="253"/>
    </row>
    <row r="10" spans="1:10" ht="14.45" customHeight="1" x14ac:dyDescent="0.25">
      <c r="A10" s="215">
        <v>2</v>
      </c>
      <c r="B10" s="165" t="s">
        <v>19</v>
      </c>
      <c r="C10" s="55"/>
      <c r="D10" s="213">
        <v>1</v>
      </c>
      <c r="E10" s="304">
        <v>197484</v>
      </c>
      <c r="G10" s="339"/>
      <c r="H10" s="340"/>
      <c r="I10" s="340"/>
      <c r="J10" s="253"/>
    </row>
    <row r="11" spans="1:10" ht="14.45" customHeight="1" x14ac:dyDescent="0.25">
      <c r="A11" s="215">
        <v>1</v>
      </c>
      <c r="B11" s="165" t="s">
        <v>6</v>
      </c>
      <c r="C11" s="55"/>
      <c r="D11" s="213">
        <v>1</v>
      </c>
      <c r="E11" s="304">
        <v>170634.62</v>
      </c>
      <c r="G11" s="339">
        <v>3</v>
      </c>
      <c r="H11" s="340">
        <f>AVERAGEIF($A$7:$A$64,3,$E$7:$E$64)</f>
        <v>215703.69717692307</v>
      </c>
      <c r="I11" s="340">
        <f>SUMIF($A$7:$A$64,3,$E$7:$E$64)/SUMIF($A$7:$A$64,3,$D$7:$D$64)</f>
        <v>215703.69717692307</v>
      </c>
      <c r="J11" s="253"/>
    </row>
    <row r="12" spans="1:10" ht="14.45" customHeight="1" x14ac:dyDescent="0.25">
      <c r="A12" s="215">
        <v>1</v>
      </c>
      <c r="B12" s="165" t="s">
        <v>7</v>
      </c>
      <c r="C12" s="87"/>
      <c r="D12" s="213">
        <v>1</v>
      </c>
      <c r="E12" s="304">
        <v>121275</v>
      </c>
      <c r="G12" s="339"/>
      <c r="H12" s="340"/>
      <c r="I12" s="340"/>
      <c r="J12" s="253"/>
    </row>
    <row r="13" spans="1:10" ht="14.45" customHeight="1" x14ac:dyDescent="0.25">
      <c r="A13" s="215">
        <v>3</v>
      </c>
      <c r="B13" s="165" t="s">
        <v>41</v>
      </c>
      <c r="C13" s="55"/>
      <c r="D13" s="213">
        <v>1</v>
      </c>
      <c r="E13" s="304">
        <v>225500</v>
      </c>
      <c r="G13" s="339">
        <v>4</v>
      </c>
      <c r="H13" s="340">
        <f>AVERAGEIF($A$7:$A$64,4,$E$7:$E$64)</f>
        <v>276569.54367499996</v>
      </c>
      <c r="I13" s="349">
        <f>SUMIF($A$7:$A$64,4,$E$7:$E$64)/SUMIF($A$7:$A$64,4,$D$7:$D$64)</f>
        <v>276569.54367499996</v>
      </c>
      <c r="J13" s="253"/>
    </row>
    <row r="14" spans="1:10" ht="15" customHeight="1" thickBot="1" x14ac:dyDescent="0.3">
      <c r="A14" s="215">
        <v>1</v>
      </c>
      <c r="B14" s="165" t="s">
        <v>8</v>
      </c>
      <c r="C14" s="55"/>
      <c r="D14" s="213">
        <v>1</v>
      </c>
      <c r="E14" s="304">
        <v>135000</v>
      </c>
      <c r="G14" s="347"/>
      <c r="H14" s="348"/>
      <c r="I14" s="350"/>
      <c r="J14" s="253"/>
    </row>
    <row r="15" spans="1:10" x14ac:dyDescent="0.25">
      <c r="A15" s="215">
        <v>2</v>
      </c>
      <c r="B15" s="165" t="s">
        <v>20</v>
      </c>
      <c r="C15" s="55"/>
      <c r="D15" s="213">
        <v>1</v>
      </c>
      <c r="E15" s="304">
        <v>212451</v>
      </c>
      <c r="G15" s="116"/>
      <c r="H15" s="116"/>
      <c r="I15" s="250"/>
    </row>
    <row r="16" spans="1:10" x14ac:dyDescent="0.25">
      <c r="A16" s="215">
        <v>3</v>
      </c>
      <c r="B16" s="165" t="s">
        <v>42</v>
      </c>
      <c r="C16" s="55"/>
      <c r="D16" s="213">
        <v>1</v>
      </c>
      <c r="E16" s="304">
        <v>211341</v>
      </c>
      <c r="I16" s="250"/>
    </row>
    <row r="17" spans="1:9" x14ac:dyDescent="0.25">
      <c r="A17" s="215">
        <v>1</v>
      </c>
      <c r="B17" s="165" t="s">
        <v>9</v>
      </c>
      <c r="C17" s="55"/>
      <c r="D17" s="213">
        <v>1</v>
      </c>
      <c r="E17" s="304">
        <v>120000</v>
      </c>
      <c r="I17" s="250"/>
    </row>
    <row r="18" spans="1:9" x14ac:dyDescent="0.25">
      <c r="A18" s="215">
        <v>2</v>
      </c>
      <c r="B18" s="165" t="s">
        <v>21</v>
      </c>
      <c r="C18" s="87"/>
      <c r="D18" s="213">
        <v>1</v>
      </c>
      <c r="E18" s="304">
        <v>182410.85</v>
      </c>
      <c r="I18" s="250"/>
    </row>
    <row r="19" spans="1:9" x14ac:dyDescent="0.25">
      <c r="A19" s="215">
        <v>2</v>
      </c>
      <c r="B19" s="165" t="s">
        <v>22</v>
      </c>
      <c r="C19" s="55"/>
      <c r="D19" s="213">
        <v>1</v>
      </c>
      <c r="E19" s="304">
        <v>182410.8</v>
      </c>
      <c r="I19" s="250"/>
    </row>
    <row r="20" spans="1:9" x14ac:dyDescent="0.25">
      <c r="A20" s="215">
        <v>1</v>
      </c>
      <c r="B20" s="165" t="s">
        <v>10</v>
      </c>
      <c r="C20" s="55"/>
      <c r="D20" s="213">
        <v>1</v>
      </c>
      <c r="E20" s="304">
        <v>135000.06</v>
      </c>
      <c r="I20" s="250"/>
    </row>
    <row r="21" spans="1:9" x14ac:dyDescent="0.25">
      <c r="A21" s="215">
        <v>3</v>
      </c>
      <c r="B21" s="165" t="s">
        <v>43</v>
      </c>
      <c r="C21" s="55"/>
      <c r="D21" s="213">
        <v>1</v>
      </c>
      <c r="E21" s="304">
        <v>199562.13</v>
      </c>
      <c r="I21" s="250"/>
    </row>
    <row r="22" spans="1:9" x14ac:dyDescent="0.25">
      <c r="A22" s="215">
        <v>2</v>
      </c>
      <c r="B22" s="165" t="s">
        <v>23</v>
      </c>
      <c r="C22" s="55"/>
      <c r="D22" s="213">
        <v>1</v>
      </c>
      <c r="E22" s="304">
        <v>231153.85</v>
      </c>
      <c r="I22" s="250"/>
    </row>
    <row r="23" spans="1:9" x14ac:dyDescent="0.25">
      <c r="A23" s="215">
        <v>2</v>
      </c>
      <c r="B23" s="165" t="s">
        <v>24</v>
      </c>
      <c r="C23" s="55"/>
      <c r="D23" s="213">
        <v>1</v>
      </c>
      <c r="E23" s="304">
        <v>204957</v>
      </c>
      <c r="I23" s="250"/>
    </row>
    <row r="24" spans="1:9" x14ac:dyDescent="0.25">
      <c r="A24" s="215">
        <v>1</v>
      </c>
      <c r="B24" s="165" t="s">
        <v>11</v>
      </c>
      <c r="C24" s="55"/>
      <c r="D24" s="213">
        <v>0.75</v>
      </c>
      <c r="E24" s="304">
        <v>101634</v>
      </c>
      <c r="I24" s="250"/>
    </row>
    <row r="25" spans="1:9" x14ac:dyDescent="0.25">
      <c r="A25" s="215">
        <v>4</v>
      </c>
      <c r="B25" s="165" t="s">
        <v>54</v>
      </c>
      <c r="C25" s="55"/>
      <c r="D25" s="213">
        <v>1</v>
      </c>
      <c r="E25" s="304">
        <v>362587.08899999998</v>
      </c>
      <c r="I25" s="250"/>
    </row>
    <row r="26" spans="1:9" x14ac:dyDescent="0.25">
      <c r="A26" s="215">
        <v>2</v>
      </c>
      <c r="B26" s="165" t="s">
        <v>25</v>
      </c>
      <c r="C26" s="55"/>
      <c r="D26" s="213">
        <v>1</v>
      </c>
      <c r="E26" s="304">
        <v>185132</v>
      </c>
      <c r="I26" s="250"/>
    </row>
    <row r="27" spans="1:9" x14ac:dyDescent="0.25">
      <c r="A27" s="215">
        <v>2</v>
      </c>
      <c r="B27" s="165" t="s">
        <v>26</v>
      </c>
      <c r="C27" s="55"/>
      <c r="D27" s="213">
        <v>1</v>
      </c>
      <c r="E27" s="304">
        <v>215000</v>
      </c>
      <c r="I27" s="250"/>
    </row>
    <row r="28" spans="1:9" x14ac:dyDescent="0.25">
      <c r="A28" s="215">
        <v>1</v>
      </c>
      <c r="B28" s="165" t="s">
        <v>12</v>
      </c>
      <c r="C28" s="55"/>
      <c r="D28" s="213">
        <v>1</v>
      </c>
      <c r="E28" s="304">
        <v>115547.12</v>
      </c>
      <c r="I28" s="250"/>
    </row>
    <row r="29" spans="1:9" x14ac:dyDescent="0.25">
      <c r="A29" s="215">
        <v>2</v>
      </c>
      <c r="B29" s="165" t="s">
        <v>27</v>
      </c>
      <c r="C29" s="55"/>
      <c r="D29" s="213">
        <v>1</v>
      </c>
      <c r="E29" s="304">
        <v>203840</v>
      </c>
      <c r="I29" s="250"/>
    </row>
    <row r="30" spans="1:9" x14ac:dyDescent="0.25">
      <c r="A30" s="215">
        <v>2</v>
      </c>
      <c r="B30" s="165" t="s">
        <v>28</v>
      </c>
      <c r="C30" s="55"/>
      <c r="D30" s="213">
        <v>1</v>
      </c>
      <c r="E30" s="304">
        <v>150753.408</v>
      </c>
      <c r="I30" s="250"/>
    </row>
    <row r="31" spans="1:9" x14ac:dyDescent="0.25">
      <c r="A31" s="215">
        <v>1</v>
      </c>
      <c r="B31" s="165" t="s">
        <v>13</v>
      </c>
      <c r="C31" s="55"/>
      <c r="D31" s="213">
        <v>1</v>
      </c>
      <c r="E31" s="304">
        <v>117621.88</v>
      </c>
      <c r="I31" s="250"/>
    </row>
    <row r="32" spans="1:9" x14ac:dyDescent="0.25">
      <c r="A32" s="215">
        <v>1</v>
      </c>
      <c r="B32" s="165" t="s">
        <v>14</v>
      </c>
      <c r="C32" s="55"/>
      <c r="D32" s="213">
        <v>1</v>
      </c>
      <c r="E32" s="304">
        <v>132320</v>
      </c>
      <c r="I32" s="250"/>
    </row>
    <row r="33" spans="1:9" x14ac:dyDescent="0.25">
      <c r="A33" s="215">
        <v>3</v>
      </c>
      <c r="B33" s="165" t="s">
        <v>44</v>
      </c>
      <c r="C33" s="55"/>
      <c r="D33" s="213">
        <v>1</v>
      </c>
      <c r="E33" s="304">
        <v>208374.39999999999</v>
      </c>
      <c r="I33" s="250"/>
    </row>
    <row r="34" spans="1:9" x14ac:dyDescent="0.25">
      <c r="A34" s="215">
        <v>2</v>
      </c>
      <c r="B34" s="165" t="s">
        <v>29</v>
      </c>
      <c r="C34" s="55"/>
      <c r="D34" s="213">
        <v>1</v>
      </c>
      <c r="E34" s="304">
        <v>200687.2</v>
      </c>
      <c r="I34" s="250"/>
    </row>
    <row r="35" spans="1:9" x14ac:dyDescent="0.25">
      <c r="A35" s="215">
        <v>2</v>
      </c>
      <c r="B35" s="165" t="s">
        <v>30</v>
      </c>
      <c r="C35" s="55"/>
      <c r="D35" s="213">
        <v>1</v>
      </c>
      <c r="E35" s="304">
        <v>182410.85</v>
      </c>
      <c r="I35" s="250"/>
    </row>
    <row r="36" spans="1:9" x14ac:dyDescent="0.25">
      <c r="A36" s="215">
        <v>4</v>
      </c>
      <c r="B36" s="165" t="s">
        <v>55</v>
      </c>
      <c r="C36" s="55"/>
      <c r="D36" s="213">
        <v>1</v>
      </c>
      <c r="E36" s="304">
        <v>250956.72</v>
      </c>
      <c r="I36" s="250"/>
    </row>
    <row r="37" spans="1:9" x14ac:dyDescent="0.25">
      <c r="A37" s="215">
        <v>2</v>
      </c>
      <c r="B37" s="165" t="s">
        <v>31</v>
      </c>
      <c r="C37" s="55"/>
      <c r="D37" s="213">
        <v>1</v>
      </c>
      <c r="E37" s="304">
        <v>241006.48</v>
      </c>
      <c r="I37" s="250"/>
    </row>
    <row r="38" spans="1:9" x14ac:dyDescent="0.25">
      <c r="A38" s="215">
        <v>1</v>
      </c>
      <c r="B38" s="165" t="s">
        <v>15</v>
      </c>
      <c r="C38" s="55"/>
      <c r="D38" s="213">
        <v>1</v>
      </c>
      <c r="E38" s="304">
        <v>132601.696</v>
      </c>
      <c r="I38" s="250"/>
    </row>
    <row r="39" spans="1:9" x14ac:dyDescent="0.25">
      <c r="A39" s="215">
        <v>4</v>
      </c>
      <c r="B39" s="165" t="s">
        <v>56</v>
      </c>
      <c r="C39" s="55"/>
      <c r="D39" s="213">
        <v>1</v>
      </c>
      <c r="E39" s="304">
        <v>262740.14</v>
      </c>
      <c r="I39" s="250"/>
    </row>
    <row r="40" spans="1:9" x14ac:dyDescent="0.25">
      <c r="A40" s="215">
        <v>4</v>
      </c>
      <c r="B40" s="165" t="s">
        <v>57</v>
      </c>
      <c r="C40" s="55"/>
      <c r="D40" s="213">
        <v>1</v>
      </c>
      <c r="E40" s="304">
        <v>261000</v>
      </c>
      <c r="I40" s="250"/>
    </row>
    <row r="41" spans="1:9" x14ac:dyDescent="0.25">
      <c r="A41" s="215">
        <v>1</v>
      </c>
      <c r="B41" s="165" t="s">
        <v>16</v>
      </c>
      <c r="C41" s="55"/>
      <c r="D41" s="213">
        <v>1</v>
      </c>
      <c r="E41" s="304">
        <v>154169.60000000001</v>
      </c>
      <c r="I41" s="250"/>
    </row>
    <row r="42" spans="1:9" x14ac:dyDescent="0.25">
      <c r="A42" s="215">
        <v>4</v>
      </c>
      <c r="B42" s="165" t="s">
        <v>58</v>
      </c>
      <c r="C42" s="55"/>
      <c r="D42" s="213">
        <v>1</v>
      </c>
      <c r="E42" s="304">
        <v>254263.068</v>
      </c>
      <c r="I42" s="250"/>
    </row>
    <row r="43" spans="1:9" x14ac:dyDescent="0.25">
      <c r="A43" s="215">
        <v>4</v>
      </c>
      <c r="B43" s="165" t="s">
        <v>59</v>
      </c>
      <c r="C43" s="55"/>
      <c r="D43" s="213">
        <v>1</v>
      </c>
      <c r="E43" s="304">
        <v>282954.45240000001</v>
      </c>
      <c r="I43" s="250"/>
    </row>
    <row r="44" spans="1:9" x14ac:dyDescent="0.25">
      <c r="A44" s="215">
        <v>3</v>
      </c>
      <c r="B44" s="165" t="s">
        <v>60</v>
      </c>
      <c r="C44" s="55"/>
      <c r="D44" s="213">
        <v>1</v>
      </c>
      <c r="E44" s="304">
        <v>234530.52</v>
      </c>
      <c r="I44" s="250"/>
    </row>
    <row r="45" spans="1:9" x14ac:dyDescent="0.25">
      <c r="A45" s="215">
        <v>3</v>
      </c>
      <c r="B45" s="165" t="s">
        <v>45</v>
      </c>
      <c r="C45" s="55"/>
      <c r="D45" s="213">
        <v>1</v>
      </c>
      <c r="E45" s="304">
        <v>202596.14</v>
      </c>
      <c r="I45" s="250"/>
    </row>
    <row r="46" spans="1:9" x14ac:dyDescent="0.25">
      <c r="A46" s="215">
        <v>2</v>
      </c>
      <c r="B46" s="165" t="s">
        <v>32</v>
      </c>
      <c r="C46" s="55"/>
      <c r="D46" s="213">
        <v>1</v>
      </c>
      <c r="E46" s="304">
        <v>215197</v>
      </c>
      <c r="I46" s="250"/>
    </row>
    <row r="47" spans="1:9" x14ac:dyDescent="0.25">
      <c r="A47" s="215">
        <v>3</v>
      </c>
      <c r="B47" s="165" t="s">
        <v>46</v>
      </c>
      <c r="C47" s="55"/>
      <c r="D47" s="213">
        <v>1</v>
      </c>
      <c r="E47" s="304">
        <v>253675.8401</v>
      </c>
      <c r="I47" s="250"/>
    </row>
    <row r="48" spans="1:9" x14ac:dyDescent="0.25">
      <c r="A48" s="215">
        <v>3</v>
      </c>
      <c r="B48" s="165" t="s">
        <v>47</v>
      </c>
      <c r="C48" s="55"/>
      <c r="D48" s="213">
        <v>1</v>
      </c>
      <c r="E48" s="304">
        <v>213417.77600000001</v>
      </c>
      <c r="I48" s="250"/>
    </row>
    <row r="49" spans="1:9" x14ac:dyDescent="0.25">
      <c r="A49" s="215">
        <v>4</v>
      </c>
      <c r="B49" s="165" t="s">
        <v>61</v>
      </c>
      <c r="C49" s="55"/>
      <c r="D49" s="213">
        <v>1</v>
      </c>
      <c r="E49" s="304">
        <v>259975.04000000001</v>
      </c>
      <c r="I49" s="250"/>
    </row>
    <row r="50" spans="1:9" x14ac:dyDescent="0.25">
      <c r="A50" s="215">
        <v>2</v>
      </c>
      <c r="B50" s="165" t="s">
        <v>33</v>
      </c>
      <c r="C50" s="55"/>
      <c r="D50" s="213">
        <v>1</v>
      </c>
      <c r="E50" s="304">
        <v>217404.52</v>
      </c>
      <c r="I50" s="250"/>
    </row>
    <row r="51" spans="1:9" x14ac:dyDescent="0.25">
      <c r="A51" s="215">
        <v>2</v>
      </c>
      <c r="B51" s="165" t="s">
        <v>34</v>
      </c>
      <c r="C51" s="55"/>
      <c r="D51" s="213">
        <v>1</v>
      </c>
      <c r="E51" s="304">
        <v>187427.97</v>
      </c>
      <c r="I51" s="250"/>
    </row>
    <row r="52" spans="1:9" x14ac:dyDescent="0.25">
      <c r="A52" s="215">
        <v>1</v>
      </c>
      <c r="B52" s="165" t="s">
        <v>17</v>
      </c>
      <c r="C52" s="55"/>
      <c r="D52" s="213">
        <v>1</v>
      </c>
      <c r="E52" s="304">
        <v>132070.24</v>
      </c>
      <c r="I52" s="250"/>
    </row>
    <row r="53" spans="1:9" x14ac:dyDescent="0.25">
      <c r="A53" s="215">
        <v>2</v>
      </c>
      <c r="B53" s="165" t="s">
        <v>35</v>
      </c>
      <c r="C53" s="55"/>
      <c r="D53" s="213">
        <v>1</v>
      </c>
      <c r="E53" s="304">
        <v>168559</v>
      </c>
      <c r="I53" s="250"/>
    </row>
    <row r="54" spans="1:9" x14ac:dyDescent="0.25">
      <c r="A54" s="215">
        <v>3</v>
      </c>
      <c r="B54" s="165" t="s">
        <v>48</v>
      </c>
      <c r="C54" s="55"/>
      <c r="D54" s="213">
        <v>1</v>
      </c>
      <c r="E54" s="304">
        <v>207939.50320000001</v>
      </c>
      <c r="I54" s="250"/>
    </row>
    <row r="55" spans="1:9" x14ac:dyDescent="0.25">
      <c r="A55" s="215">
        <v>3</v>
      </c>
      <c r="B55" s="165" t="s">
        <v>49</v>
      </c>
      <c r="C55" s="55"/>
      <c r="D55" s="213">
        <v>1</v>
      </c>
      <c r="E55" s="304">
        <v>200769.3432</v>
      </c>
      <c r="I55" s="250"/>
    </row>
    <row r="56" spans="1:9" x14ac:dyDescent="0.25">
      <c r="A56" s="215">
        <v>3</v>
      </c>
      <c r="B56" s="165" t="s">
        <v>50</v>
      </c>
      <c r="C56" s="55"/>
      <c r="D56" s="213">
        <v>1</v>
      </c>
      <c r="E56" s="304">
        <v>206016.3768</v>
      </c>
      <c r="I56" s="250"/>
    </row>
    <row r="57" spans="1:9" x14ac:dyDescent="0.25">
      <c r="A57" s="215">
        <v>2</v>
      </c>
      <c r="B57" s="165" t="s">
        <v>36</v>
      </c>
      <c r="C57" s="55"/>
      <c r="D57" s="213">
        <v>1</v>
      </c>
      <c r="E57" s="304">
        <v>186010.76</v>
      </c>
      <c r="I57" s="250"/>
    </row>
    <row r="58" spans="1:9" x14ac:dyDescent="0.25">
      <c r="A58" s="215">
        <v>2</v>
      </c>
      <c r="B58" s="165" t="s">
        <v>37</v>
      </c>
      <c r="C58" s="55"/>
      <c r="D58" s="213">
        <v>1.25</v>
      </c>
      <c r="E58" s="304">
        <v>187279</v>
      </c>
      <c r="I58" s="250"/>
    </row>
    <row r="59" spans="1:9" x14ac:dyDescent="0.25">
      <c r="A59" s="215">
        <v>1</v>
      </c>
      <c r="B59" s="165" t="s">
        <v>18</v>
      </c>
      <c r="C59" s="55"/>
      <c r="D59" s="213">
        <v>1</v>
      </c>
      <c r="E59" s="304">
        <v>127569.72840000001</v>
      </c>
      <c r="I59" s="250"/>
    </row>
    <row r="60" spans="1:9" x14ac:dyDescent="0.25">
      <c r="A60" s="215">
        <v>3</v>
      </c>
      <c r="B60" s="165" t="s">
        <v>51</v>
      </c>
      <c r="C60" s="55"/>
      <c r="D60" s="213">
        <v>1</v>
      </c>
      <c r="E60" s="304">
        <v>206081.424</v>
      </c>
      <c r="I60" s="250"/>
    </row>
    <row r="61" spans="1:9" x14ac:dyDescent="0.25">
      <c r="A61" s="215">
        <v>2</v>
      </c>
      <c r="B61" s="165" t="s">
        <v>38</v>
      </c>
      <c r="C61" s="55"/>
      <c r="D61" s="213">
        <v>1</v>
      </c>
      <c r="E61" s="304">
        <v>160000</v>
      </c>
      <c r="I61" s="250"/>
    </row>
    <row r="62" spans="1:9" x14ac:dyDescent="0.25">
      <c r="A62" s="215">
        <v>3</v>
      </c>
      <c r="B62" s="165" t="s">
        <v>52</v>
      </c>
      <c r="C62" s="55"/>
      <c r="D62" s="213">
        <v>1</v>
      </c>
      <c r="E62" s="304">
        <v>234343.61</v>
      </c>
      <c r="I62" s="250"/>
    </row>
    <row r="63" spans="1:9" x14ac:dyDescent="0.25">
      <c r="A63" s="215">
        <v>2</v>
      </c>
      <c r="B63" s="165" t="s">
        <v>39</v>
      </c>
      <c r="C63" s="55"/>
      <c r="D63" s="213">
        <v>1</v>
      </c>
      <c r="E63" s="304">
        <v>230000</v>
      </c>
      <c r="I63" s="250"/>
    </row>
    <row r="64" spans="1:9" x14ac:dyDescent="0.25">
      <c r="A64" s="215">
        <v>2</v>
      </c>
      <c r="B64" s="165" t="s">
        <v>40</v>
      </c>
      <c r="C64" s="55"/>
      <c r="D64" s="213">
        <v>1</v>
      </c>
      <c r="E64" s="304">
        <v>181758</v>
      </c>
      <c r="I64" s="250"/>
    </row>
    <row r="65" spans="1:5" s="55" customFormat="1" x14ac:dyDescent="0.25">
      <c r="A65" s="211"/>
      <c r="B65" s="214" t="s">
        <v>171</v>
      </c>
      <c r="D65" s="293">
        <f>SUM(D7:D64)</f>
        <v>58</v>
      </c>
      <c r="E65" s="306">
        <f>SUM(E7:E64)</f>
        <v>11289232.045099998</v>
      </c>
    </row>
    <row r="66" spans="1:5" x14ac:dyDescent="0.25">
      <c r="C66" s="55"/>
      <c r="D66" s="210">
        <v>58</v>
      </c>
      <c r="E66" s="294">
        <v>11289232.0451</v>
      </c>
    </row>
    <row r="67" spans="1:5" x14ac:dyDescent="0.25">
      <c r="C67" s="55"/>
      <c r="D67" s="294">
        <f>D65-D66</f>
        <v>0</v>
      </c>
      <c r="E67" s="294">
        <f>E65-E66</f>
        <v>0</v>
      </c>
    </row>
    <row r="68" spans="1:5" x14ac:dyDescent="0.25">
      <c r="C68" s="55"/>
    </row>
    <row r="69" spans="1:5" x14ac:dyDescent="0.25">
      <c r="C69" s="55"/>
    </row>
    <row r="70" spans="1:5" x14ac:dyDescent="0.25">
      <c r="C70" s="55"/>
    </row>
    <row r="71" spans="1:5" x14ac:dyDescent="0.25">
      <c r="C71" s="55"/>
    </row>
    <row r="72" spans="1:5" x14ac:dyDescent="0.25">
      <c r="C72" s="55"/>
    </row>
    <row r="73" spans="1:5" x14ac:dyDescent="0.25">
      <c r="C73" s="55"/>
    </row>
  </sheetData>
  <mergeCells count="18">
    <mergeCell ref="I5:I6"/>
    <mergeCell ref="I7:I8"/>
    <mergeCell ref="I9:I10"/>
    <mergeCell ref="I11:I12"/>
    <mergeCell ref="I13:I14"/>
    <mergeCell ref="G9:G10"/>
    <mergeCell ref="H9:H10"/>
    <mergeCell ref="G11:G12"/>
    <mergeCell ref="H11:H12"/>
    <mergeCell ref="G13:G14"/>
    <mergeCell ref="H13:H14"/>
    <mergeCell ref="G7:G8"/>
    <mergeCell ref="H7:H8"/>
    <mergeCell ref="D4:E4"/>
    <mergeCell ref="A5:A6"/>
    <mergeCell ref="B5:B6"/>
    <mergeCell ref="G5:G6"/>
    <mergeCell ref="H5:H6"/>
  </mergeCells>
  <printOptions horizontalCentered="1"/>
  <pageMargins left="0.5" right="0.5" top="0.5" bottom="0.5" header="0.3" footer="0.3"/>
  <pageSetup scale="72"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lannerLink xmlns="333a5d52-b956-467d-b85f-dd40b49e21b1">
      <Url xsi:nil="true"/>
      <Description xsi:nil="true"/>
    </PlannerLink>
    <Court xmlns="333a5d52-b956-467d-b85f-dd40b49e21b1" xsi:nil="true"/>
    <Link xmlns="333a5d52-b956-467d-b85f-dd40b49e21b1">
      <Url xsi:nil="true"/>
      <Description xsi:nil="true"/>
    </Link>
    <_x0037_AFile xmlns="333a5d52-b956-467d-b85f-dd40b49e21b1"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18FD8300DC37D47B8430E3AA1B8E692" ma:contentTypeVersion="13" ma:contentTypeDescription="Create a new document." ma:contentTypeScope="" ma:versionID="178564b790fecd8beb310bef3b120df8">
  <xsd:schema xmlns:xsd="http://www.w3.org/2001/XMLSchema" xmlns:xs="http://www.w3.org/2001/XMLSchema" xmlns:p="http://schemas.microsoft.com/office/2006/metadata/properties" xmlns:ns2="333a5d52-b956-467d-b85f-dd40b49e21b1" xmlns:ns3="414d6244-1c89-464f-8b51-cc4a1c1a2751" targetNamespace="http://schemas.microsoft.com/office/2006/metadata/properties" ma:root="true" ma:fieldsID="ef39cf34ce43716b325872acbacf66c5" ns2:_="" ns3:_="">
    <xsd:import namespace="333a5d52-b956-467d-b85f-dd40b49e21b1"/>
    <xsd:import namespace="414d6244-1c89-464f-8b51-cc4a1c1a275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PlannerLink" minOccurs="0"/>
                <xsd:element ref="ns2:Link" minOccurs="0"/>
                <xsd:element ref="ns2:Court" minOccurs="0"/>
                <xsd:element ref="ns2:_x0037_AFile"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a5d52-b956-467d-b85f-dd40b49e2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PlannerLink" ma:index="13" nillable="true" ma:displayName="Planner Link" ma:format="Hyperlink" ma:internalName="PlannerLink">
      <xsd:complexType>
        <xsd:complexContent>
          <xsd:extension base="dms:URL">
            <xsd:sequence>
              <xsd:element name="Url" type="dms:ValidUrl" minOccurs="0" nillable="true"/>
              <xsd:element name="Description" type="xsd:string" nillable="true"/>
            </xsd:sequence>
          </xsd:extension>
        </xsd:complexContent>
      </xsd:complexType>
    </xsd:element>
    <xsd:element name="Link" ma:index="14"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Court" ma:index="15" nillable="true" ma:displayName="Court" ma:format="Dropdown" ma:internalName="Court">
      <xsd:simpleType>
        <xsd:restriction base="dms:Text">
          <xsd:maxLength value="255"/>
        </xsd:restriction>
      </xsd:simpleType>
    </xsd:element>
    <xsd:element name="_x0037_AFile" ma:index="16" nillable="true" ma:displayName="7AFile" ma:list="{333a5d52-b956-467d-b85f-dd40b49e21b1}" ma:internalName="_x0037_AFile" ma:showField="Modified">
      <xsd:simpleType>
        <xsd:restriction base="dms:Lookup"/>
      </xsd:simpleType>
    </xsd:element>
    <xsd:element name="MediaServiceAutoTags" ma:index="17" nillable="true" ma:displayName="Tags" ma:internalName="MediaServiceAutoTag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4d6244-1c89-464f-8b51-cc4a1c1a275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91F97-4EBE-4526-A677-F34C57AF4F1E}">
  <ds:schemaRefs>
    <ds:schemaRef ds:uri="http://schemas.microsoft.com/sharepoint/v3/contenttype/forms"/>
  </ds:schemaRefs>
</ds:datastoreItem>
</file>

<file path=customXml/itemProps2.xml><?xml version="1.0" encoding="utf-8"?>
<ds:datastoreItem xmlns:ds="http://schemas.openxmlformats.org/officeDocument/2006/customXml" ds:itemID="{AC1A3642-642A-412D-A925-F47AD2558121}">
  <ds:schemaRefs>
    <ds:schemaRef ds:uri="http://purl.org/dc/terms/"/>
    <ds:schemaRef ds:uri="http://schemas.openxmlformats.org/package/2006/metadata/core-properties"/>
    <ds:schemaRef ds:uri="414d6244-1c89-464f-8b51-cc4a1c1a2751"/>
    <ds:schemaRef ds:uri="http://purl.org/dc/dcmitype/"/>
    <ds:schemaRef ds:uri="http://schemas.microsoft.com/office/infopath/2007/PartnerControls"/>
    <ds:schemaRef ds:uri="333a5d52-b956-467d-b85f-dd40b49e21b1"/>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CAFD3CD-2862-417B-B796-B751F16454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3a5d52-b956-467d-b85f-dd40b49e21b1"/>
    <ds:schemaRef ds:uri="414d6244-1c89-464f-8b51-cc4a1c1a27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README</vt:lpstr>
      <vt:lpstr>WF Need</vt:lpstr>
      <vt:lpstr>BLS</vt:lpstr>
      <vt:lpstr>RAS</vt:lpstr>
      <vt:lpstr>AVG RAS salary</vt:lpstr>
      <vt:lpstr>FTE Allotment Factor</vt:lpstr>
      <vt:lpstr>Program 10</vt:lpstr>
      <vt:lpstr>Program 90</vt:lpstr>
      <vt:lpstr>CEO Salary</vt:lpstr>
      <vt:lpstr>OE&amp;E by Cluster</vt:lpstr>
      <vt:lpstr>AB1058</vt:lpstr>
      <vt:lpstr>Floor Adjustment</vt:lpstr>
      <vt:lpstr>Floors</vt:lpstr>
      <vt:lpstr>SUMMARY</vt:lpstr>
      <vt:lpstr>RAS!_GoBack</vt:lpstr>
      <vt:lpstr>'AVG RAS salary'!Print_Area</vt:lpstr>
      <vt:lpstr>BLS!Print_Area</vt:lpstr>
      <vt:lpstr>'Floor Adjustment'!Print_Area</vt:lpstr>
      <vt:lpstr>Floors!Print_Area</vt:lpstr>
      <vt:lpstr>'FTE Allotment Factor'!Print_Area</vt:lpstr>
      <vt:lpstr>RAS!Print_Area</vt:lpstr>
      <vt:lpstr>'Floor Adjustment'!Print_Titles</vt:lpstr>
      <vt:lpstr>'FTE Allotment Factor'!Print_Titles</vt:lpstr>
      <vt:lpstr>'WF Need'!Print_Titles</vt:lpstr>
    </vt:vector>
  </TitlesOfParts>
  <Company>Administrative Office of the Courts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DMacLeod</dc:creator>
  <cp:lastModifiedBy>Amy Middleton</cp:lastModifiedBy>
  <cp:lastPrinted>2018-05-30T16:39:51Z</cp:lastPrinted>
  <dcterms:created xsi:type="dcterms:W3CDTF">2012-06-26T18:06:24Z</dcterms:created>
  <dcterms:modified xsi:type="dcterms:W3CDTF">2022-07-18T20:44:47Z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0x010100118FD8300DC37D47B8430E3AA1B8E692</vt:lpwstr>
  </property>
</Properties>
</file>